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doas.ga.gov/assets/State Purchasing/Process Improvement Documents/"/>
    </mc:Choice>
  </mc:AlternateContent>
  <workbookProtection workbookAlgorithmName="SHA-512" workbookHashValue="x50stwMuEcx7kyvXKVr9YTW1Tj7mtDdG2RsVXjRL0eGw2Kyjf7sUsV6CVzAfHuk0pxQ8mKMEuKfqf4T/OoST3w==" workbookSaltValue="iVhUzZ3CNBliHtfzRs7BZQ==" workbookSpinCount="100000" lockStructure="1"/>
  <bookViews>
    <workbookView xWindow="0" yWindow="0" windowWidth="18810" windowHeight="6885"/>
  </bookViews>
  <sheets>
    <sheet name="Solicitation Information" sheetId="6" r:id="rId1"/>
    <sheet name="RFP Scorecard" sheetId="4" r:id="rId2"/>
    <sheet name="Resources" sheetId="7" r:id="rId3"/>
  </sheets>
  <definedNames>
    <definedName name="_xlnm._FilterDatabase" localSheetId="1" hidden="1">'RFP Scorecard'!$C$1:$C$83</definedName>
    <definedName name="actual_score">'Solicitation Information'!$I$14</definedName>
    <definedName name="answer_status">'RFP Scorecard'!$M:$M</definedName>
    <definedName name="comp_level">'RFP Scorecard'!$E:$E</definedName>
    <definedName name="drop_downs">'RFP Scorecard'!$E$5:$E$55</definedName>
    <definedName name="gap">'RFP Scorecard'!$K:$K</definedName>
    <definedName name="gpm_pts">'Solicitation Information'!$C$14</definedName>
    <definedName name="law_pts">'Solicitation Information'!$C$13</definedName>
    <definedName name="lost">'RFP Scorecard'!$L:$L</definedName>
    <definedName name="max_score">'RFP Scorecard'!$G:$G</definedName>
    <definedName name="not_started">'RFP Scorecard'!$Q$5</definedName>
    <definedName name="optional">'Solicitation Information'!$C$16</definedName>
    <definedName name="_xlnm.Print_Area" localSheetId="1">'RFP Scorecard'!$A$1:$H$80</definedName>
    <definedName name="_xlnm.Print_Area" localSheetId="0">'Solicitation Information'!$A$1:$K$26</definedName>
    <definedName name="_xlnm.Print_Titles" localSheetId="1">'RFP Scorecard'!$3:$3</definedName>
    <definedName name="question_count">'RFP Scorecard'!$A:$A</definedName>
    <definedName name="ref_type">'Solicitation Information'!$A$13:$A$17</definedName>
    <definedName name="reference">'RFP Scorecard'!$C:$C</definedName>
    <definedName name="score">'RFP Scorecard'!$F:$F</definedName>
    <definedName name="scored">'RFP Scorecard'!$J:$J</definedName>
    <definedName name="trng_pts">'Solicitation Information'!$C$15</definedName>
  </definedNames>
  <calcPr calcId="171027"/>
</workbook>
</file>

<file path=xl/calcChain.xml><?xml version="1.0" encoding="utf-8"?>
<calcChain xmlns="http://schemas.openxmlformats.org/spreadsheetml/2006/main">
  <c r="K21" i="4" l="1"/>
  <c r="G39" i="4" l="1"/>
  <c r="G38" i="4"/>
  <c r="G37" i="4"/>
  <c r="F39" i="4" l="1"/>
  <c r="F38" i="4"/>
  <c r="F37" i="4"/>
  <c r="F36" i="4" l="1"/>
  <c r="E6" i="6" l="1"/>
  <c r="F7" i="4" l="1"/>
  <c r="F6" i="4"/>
  <c r="F5" i="4"/>
  <c r="F64" i="4" l="1"/>
  <c r="F74" i="4" l="1"/>
  <c r="M77" i="4"/>
  <c r="M76" i="4"/>
  <c r="M75" i="4"/>
  <c r="M43" i="4"/>
  <c r="M45" i="4"/>
  <c r="M44" i="4"/>
  <c r="M39" i="4"/>
  <c r="M38" i="4"/>
  <c r="M37" i="4"/>
  <c r="F42" i="4"/>
  <c r="K45" i="4"/>
  <c r="G45" i="4"/>
  <c r="F45" i="4" s="1"/>
  <c r="H34" i="4"/>
  <c r="M33" i="4"/>
  <c r="K33" i="4"/>
  <c r="G33" i="4"/>
  <c r="M25" i="4"/>
  <c r="K25" i="4"/>
  <c r="M22" i="4"/>
  <c r="K22" i="4"/>
  <c r="G22" i="4"/>
  <c r="F22" i="4" s="1"/>
  <c r="M9" i="4"/>
  <c r="K9" i="4"/>
  <c r="G9" i="4"/>
  <c r="F9" i="4" s="1"/>
  <c r="L45" i="4" l="1"/>
  <c r="F33" i="4"/>
  <c r="L33" i="4" s="1"/>
  <c r="L25" i="4"/>
  <c r="L22" i="4"/>
  <c r="L9" i="4"/>
  <c r="M7" i="4"/>
  <c r="K7" i="4"/>
  <c r="G7" i="4"/>
  <c r="L7" i="4" l="1"/>
  <c r="G77" i="4"/>
  <c r="F77" i="4" s="1"/>
  <c r="G76" i="4"/>
  <c r="F76" i="4" s="1"/>
  <c r="G75" i="4"/>
  <c r="F75" i="4" s="1"/>
  <c r="G73" i="4"/>
  <c r="F73" i="4" s="1"/>
  <c r="G72" i="4"/>
  <c r="F72" i="4"/>
  <c r="G71" i="4"/>
  <c r="F71" i="4" s="1"/>
  <c r="G70" i="4"/>
  <c r="F70" i="4" s="1"/>
  <c r="G69" i="4"/>
  <c r="F69" i="4"/>
  <c r="G68" i="4"/>
  <c r="F68" i="4"/>
  <c r="G67" i="4"/>
  <c r="F67" i="4" s="1"/>
  <c r="G66" i="4"/>
  <c r="F66" i="4"/>
  <c r="G63" i="4"/>
  <c r="F63" i="4" s="1"/>
  <c r="G62" i="4"/>
  <c r="F62" i="4"/>
  <c r="G61" i="4"/>
  <c r="F61" i="4" s="1"/>
  <c r="G59" i="4"/>
  <c r="F59" i="4" s="1"/>
  <c r="G58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0" i="4"/>
  <c r="F50" i="4" s="1"/>
  <c r="G48" i="4"/>
  <c r="F48" i="4" s="1"/>
  <c r="G47" i="4"/>
  <c r="F47" i="4" s="1"/>
  <c r="G46" i="4"/>
  <c r="F46" i="4"/>
  <c r="G44" i="4"/>
  <c r="F44" i="4" s="1"/>
  <c r="G43" i="4"/>
  <c r="F43" i="4" s="1"/>
  <c r="G41" i="4"/>
  <c r="F41" i="4" s="1"/>
  <c r="G40" i="4"/>
  <c r="F40" i="4" s="1"/>
  <c r="G34" i="4"/>
  <c r="F34" i="4" s="1"/>
  <c r="G32" i="4"/>
  <c r="F32" i="4" s="1"/>
  <c r="G31" i="4"/>
  <c r="F31" i="4" s="1"/>
  <c r="G30" i="4"/>
  <c r="F30" i="4"/>
  <c r="G29" i="4"/>
  <c r="F29" i="4"/>
  <c r="G28" i="4"/>
  <c r="F28" i="4" s="1"/>
  <c r="G26" i="4"/>
  <c r="F26" i="4" s="1"/>
  <c r="G24" i="4"/>
  <c r="F24" i="4" s="1"/>
  <c r="G23" i="4"/>
  <c r="F23" i="4"/>
  <c r="G21" i="4"/>
  <c r="F21" i="4" s="1"/>
  <c r="G20" i="4"/>
  <c r="F20" i="4" s="1"/>
  <c r="G19" i="4"/>
  <c r="F19" i="4"/>
  <c r="G18" i="4"/>
  <c r="F18" i="4" s="1"/>
  <c r="G17" i="4"/>
  <c r="F17" i="4" s="1"/>
  <c r="G16" i="4"/>
  <c r="F16" i="4" s="1"/>
  <c r="G15" i="4"/>
  <c r="F15" i="4" s="1"/>
  <c r="G14" i="4"/>
  <c r="F14" i="4" s="1"/>
  <c r="G13" i="4"/>
  <c r="F13" i="4"/>
  <c r="G12" i="4"/>
  <c r="F12" i="4"/>
  <c r="G11" i="4"/>
  <c r="F11" i="4"/>
  <c r="M73" i="4" l="1"/>
  <c r="M72" i="4"/>
  <c r="M71" i="4"/>
  <c r="M70" i="4"/>
  <c r="M69" i="4"/>
  <c r="M68" i="4"/>
  <c r="M67" i="4"/>
  <c r="M66" i="4"/>
  <c r="M40" i="4"/>
  <c r="M41" i="4"/>
  <c r="M46" i="4"/>
  <c r="M47" i="4"/>
  <c r="M48" i="4"/>
  <c r="M50" i="4"/>
  <c r="M51" i="4"/>
  <c r="M52" i="4"/>
  <c r="M53" i="4"/>
  <c r="M54" i="4"/>
  <c r="M55" i="4"/>
  <c r="M56" i="4"/>
  <c r="M57" i="4"/>
  <c r="M58" i="4"/>
  <c r="M59" i="4"/>
  <c r="M61" i="4"/>
  <c r="M62" i="4"/>
  <c r="M63" i="4"/>
  <c r="M12" i="4"/>
  <c r="M13" i="4"/>
  <c r="M14" i="4"/>
  <c r="M15" i="4"/>
  <c r="M16" i="4"/>
  <c r="M17" i="4"/>
  <c r="M18" i="4"/>
  <c r="M19" i="4"/>
  <c r="M20" i="4"/>
  <c r="M21" i="4"/>
  <c r="M23" i="4"/>
  <c r="M24" i="4"/>
  <c r="M26" i="4"/>
  <c r="M28" i="4"/>
  <c r="M29" i="4"/>
  <c r="M30" i="4"/>
  <c r="M31" i="4"/>
  <c r="M32" i="4"/>
  <c r="M34" i="4"/>
  <c r="M11" i="4"/>
  <c r="M6" i="4"/>
  <c r="M8" i="4"/>
  <c r="M5" i="4"/>
  <c r="G8" i="4" l="1"/>
  <c r="F8" i="4" s="1"/>
  <c r="G6" i="4"/>
  <c r="G5" i="4"/>
  <c r="K18" i="4" l="1"/>
  <c r="E27" i="4" l="1"/>
  <c r="K77" i="4"/>
  <c r="K76" i="4"/>
  <c r="K75" i="4"/>
  <c r="K73" i="4"/>
  <c r="K72" i="4"/>
  <c r="K71" i="4"/>
  <c r="K70" i="4"/>
  <c r="K69" i="4"/>
  <c r="K68" i="4"/>
  <c r="K67" i="4"/>
  <c r="K66" i="4"/>
  <c r="K63" i="4"/>
  <c r="K62" i="4"/>
  <c r="K61" i="4"/>
  <c r="K59" i="4"/>
  <c r="K58" i="4"/>
  <c r="K57" i="4"/>
  <c r="K56" i="4"/>
  <c r="K55" i="4"/>
  <c r="K54" i="4"/>
  <c r="K53" i="4"/>
  <c r="K52" i="4"/>
  <c r="K50" i="4"/>
  <c r="K48" i="4"/>
  <c r="K47" i="4"/>
  <c r="K46" i="4"/>
  <c r="K44" i="4"/>
  <c r="K43" i="4"/>
  <c r="K41" i="4"/>
  <c r="K40" i="4"/>
  <c r="K39" i="4"/>
  <c r="K38" i="4"/>
  <c r="K37" i="4"/>
  <c r="K34" i="4"/>
  <c r="K32" i="4"/>
  <c r="K31" i="4"/>
  <c r="K30" i="4"/>
  <c r="K29" i="4"/>
  <c r="K28" i="4"/>
  <c r="K26" i="4"/>
  <c r="K24" i="4"/>
  <c r="K23" i="4"/>
  <c r="K20" i="4"/>
  <c r="K19" i="4"/>
  <c r="K17" i="4"/>
  <c r="K16" i="4"/>
  <c r="K15" i="4"/>
  <c r="K14" i="4"/>
  <c r="K13" i="4"/>
  <c r="K12" i="4"/>
  <c r="K11" i="4"/>
  <c r="K8" i="4"/>
  <c r="K6" i="4"/>
  <c r="K5" i="4"/>
  <c r="K27" i="4" l="1"/>
  <c r="M27" i="4"/>
  <c r="L77" i="4" l="1"/>
  <c r="L76" i="4"/>
  <c r="L75" i="4"/>
  <c r="L44" i="4" l="1"/>
  <c r="L43" i="4"/>
  <c r="L41" i="4"/>
  <c r="L21" i="4" l="1"/>
  <c r="L73" i="4" l="1"/>
  <c r="L71" i="4"/>
  <c r="L70" i="4"/>
  <c r="L67" i="4"/>
  <c r="L52" i="4"/>
  <c r="L59" i="4"/>
  <c r="L46" i="4"/>
  <c r="L48" i="4"/>
  <c r="L39" i="4"/>
  <c r="L38" i="4"/>
  <c r="L37" i="4"/>
  <c r="L19" i="4"/>
  <c r="L16" i="4"/>
  <c r="L14" i="4"/>
  <c r="L8" i="4"/>
  <c r="L6" i="4"/>
  <c r="L47" i="4" l="1"/>
  <c r="L40" i="4"/>
  <c r="L34" i="4"/>
  <c r="L32" i="4"/>
  <c r="L31" i="4"/>
  <c r="L30" i="4"/>
  <c r="L29" i="4"/>
  <c r="L28" i="4"/>
  <c r="L26" i="4"/>
  <c r="L24" i="4"/>
  <c r="L23" i="4"/>
  <c r="L20" i="4"/>
  <c r="L18" i="4"/>
  <c r="L17" i="4"/>
  <c r="L15" i="4"/>
  <c r="L13" i="4"/>
  <c r="L12" i="4"/>
  <c r="L11" i="4"/>
  <c r="L72" i="4"/>
  <c r="L69" i="4"/>
  <c r="L68" i="4"/>
  <c r="L66" i="4"/>
  <c r="L61" i="4"/>
  <c r="L62" i="4"/>
  <c r="L63" i="4"/>
  <c r="L57" i="4"/>
  <c r="L58" i="4"/>
  <c r="L5" i="4" l="1"/>
  <c r="L56" i="4"/>
  <c r="L55" i="4"/>
  <c r="L54" i="4"/>
  <c r="L53" i="4"/>
  <c r="L50" i="4"/>
  <c r="K60" i="4" l="1"/>
  <c r="M60" i="4"/>
  <c r="K64" i="4"/>
  <c r="M64" i="4"/>
  <c r="G64" i="4"/>
  <c r="G60" i="4"/>
  <c r="F60" i="4" s="1"/>
  <c r="K8" i="6"/>
  <c r="Q5" i="4" l="1"/>
  <c r="Q6" i="4"/>
  <c r="Q9" i="4" s="1"/>
  <c r="Q8" i="4" l="1"/>
  <c r="H16" i="6"/>
  <c r="L60" i="4"/>
  <c r="G27" i="4" l="1"/>
  <c r="F27" i="4" s="1"/>
  <c r="I14" i="6" l="1"/>
  <c r="L27" i="4"/>
  <c r="L64" i="4"/>
  <c r="D13" i="6"/>
  <c r="E13" i="6" s="1"/>
  <c r="D15" i="6"/>
  <c r="E15" i="6" s="1"/>
  <c r="I13" i="6"/>
  <c r="I15" i="6" l="1"/>
  <c r="J13" i="6" s="1"/>
  <c r="D14" i="6"/>
  <c r="E14" i="6" s="1"/>
  <c r="E17" i="6" s="1"/>
  <c r="D17" i="6" l="1"/>
</calcChain>
</file>

<file path=xl/sharedStrings.xml><?xml version="1.0" encoding="utf-8"?>
<sst xmlns="http://schemas.openxmlformats.org/spreadsheetml/2006/main" count="394" uniqueCount="223">
  <si>
    <t>Requirements</t>
  </si>
  <si>
    <t>Compliance Level</t>
  </si>
  <si>
    <t>Comments</t>
  </si>
  <si>
    <t>Were there any renewals?</t>
  </si>
  <si>
    <t>Resource Materials</t>
  </si>
  <si>
    <t>Question</t>
  </si>
  <si>
    <t>http://doas.ga.gov/state-purchasing/seven-stages-of-procurement</t>
  </si>
  <si>
    <t>http://doas.ga.gov/state-purchasing/seven-stages-of-procurement/stage-3-solicitation-preparation</t>
  </si>
  <si>
    <t>Buyer</t>
  </si>
  <si>
    <t>NIGP Codes</t>
  </si>
  <si>
    <t># of Responses</t>
  </si>
  <si>
    <t>Title</t>
  </si>
  <si>
    <t>Email</t>
  </si>
  <si>
    <t>Certification</t>
  </si>
  <si>
    <t>Reference</t>
  </si>
  <si>
    <t>Score</t>
  </si>
  <si>
    <t>GPM 1.3.1.1</t>
  </si>
  <si>
    <t>Training</t>
  </si>
  <si>
    <t>GPM 4.5.9</t>
  </si>
  <si>
    <t>GPM 4.5.8</t>
  </si>
  <si>
    <t>GPM 3.5.2.3.1</t>
  </si>
  <si>
    <t>GPM 6.2.2.2</t>
  </si>
  <si>
    <t>GPM 3.5.5</t>
  </si>
  <si>
    <t>GPM 6.2.2.1, 6.2.2.2.</t>
  </si>
  <si>
    <t>Optional Procedure</t>
  </si>
  <si>
    <t>GPM 3.6.1</t>
  </si>
  <si>
    <t>OCGA 13-10-91; GPM 3.5.1.3.</t>
  </si>
  <si>
    <t>GPM 7.8</t>
  </si>
  <si>
    <t>No</t>
  </si>
  <si>
    <t>Reference Type</t>
  </si>
  <si>
    <t>GPM 3.5.2.3</t>
  </si>
  <si>
    <t>GPM 3.5.5.1</t>
  </si>
  <si>
    <t>GPM 7.6.2</t>
  </si>
  <si>
    <t>GPM 7.5.2</t>
  </si>
  <si>
    <t>GPM 3.7</t>
  </si>
  <si>
    <t xml:space="preserve">Was the meeting scheduled no less than seven business days prior to the solicitation closing date?  </t>
  </si>
  <si>
    <t>Reviewed by</t>
  </si>
  <si>
    <t>Approvals (Pre-Posting)</t>
  </si>
  <si>
    <t>Solicitation Preparation (Pre-Posting)</t>
  </si>
  <si>
    <t>Was the completed RFP Scorecard submitted to Process.Improvement@doas.ga.gov?</t>
  </si>
  <si>
    <t>Can the scope or requirements be perceived as restrictive or copied from an Offeror’s website or materials?</t>
  </si>
  <si>
    <t>Was a State Entity definition of terms specific to the solicitation included?</t>
  </si>
  <si>
    <t>Did the RFP include a schedule of events with all necessary events included?</t>
  </si>
  <si>
    <t>Were points appropriately assigned for the technical and cost proposal in the RFP?</t>
  </si>
  <si>
    <t xml:space="preserve">Was the Master Requirements Worksheet separated into the Mandatory, Mandatory Scored, and/or Additional Scored worksheets for posting? </t>
  </si>
  <si>
    <t>Were Cost Sheet(s) included and do the cost sheet(s) support the technical requirements?</t>
  </si>
  <si>
    <t>Was appropriate award language included to indicate whether single or multiple awards would be made as a result of the solicitation?  (for example, award all or by category, number one ranked)?</t>
  </si>
  <si>
    <t>Was the draft contract attached to the solicitation and representative of the scope of work?</t>
  </si>
  <si>
    <t>Solicitation Posting</t>
  </si>
  <si>
    <t>Was a transcript of the meeting and/or minutes posted to the GPR?</t>
  </si>
  <si>
    <t>If a convenience contract was available, was pricing reviewed before solicitation and award?</t>
  </si>
  <si>
    <t>Solicitation Evaluation Process</t>
  </si>
  <si>
    <t>Were revised scorecards received for Validated Changed Scores?</t>
  </si>
  <si>
    <t>Was the documented cost evaluation formula and methodology applied for evaluation?</t>
  </si>
  <si>
    <t>Were copies of bid tabulation forms present in the solicitation files?</t>
  </si>
  <si>
    <t>Was the value of the award amount posted for the initial year only?</t>
  </si>
  <si>
    <t>Did the apparent successful supplier and the reasons for the unsuccessful bidders match the information on the NOIA?</t>
  </si>
  <si>
    <t>Was a Signed Contract or Purchase Order, including Terms &amp; Conditions, aligned to the State of Georgia present in the files?</t>
  </si>
  <si>
    <t>SPD Process Improvement Review Use</t>
  </si>
  <si>
    <t>Technical / Cost Points Available</t>
  </si>
  <si>
    <t>GPM 2.5, 8.3</t>
  </si>
  <si>
    <t>GPM 3.4</t>
  </si>
  <si>
    <t>GPM 3.5.2</t>
  </si>
  <si>
    <t>Was an offerors' or pre-bid conference included in the schedule of events?</t>
  </si>
  <si>
    <t>GPM 3.5.2.3.3</t>
  </si>
  <si>
    <t>If the pre-bid conference was mandatory, did the issuing officer document the supplier's attendance (i.e. sign-in sheet)?</t>
  </si>
  <si>
    <t>Was the contract executed after the 10 calendar day protest period (NOIA or NOA)?</t>
  </si>
  <si>
    <t>GPM 3.5.2.2</t>
  </si>
  <si>
    <t>GPM 3.5.8.3</t>
  </si>
  <si>
    <t>GPM 3.5.5.1.6</t>
  </si>
  <si>
    <t>GPM 3.5.9, 5.9.1</t>
  </si>
  <si>
    <t>GPM 4.8.1.1</t>
  </si>
  <si>
    <t>GPM 5.6.5.2</t>
  </si>
  <si>
    <t>Did all Evaluation Committee members complete the Evaluation Committee Member Participation (Form SPD-SP039)?</t>
  </si>
  <si>
    <t>GPM 3.5.8, 5.4</t>
  </si>
  <si>
    <t>GPM 1.3.4.1</t>
  </si>
  <si>
    <t>GPM 5.4</t>
  </si>
  <si>
    <t>Did the file contain verification that a kick-off meeting with the Evaluation Committee was held to discuss individual and group roles and responsibilities, conflict of interest, and time commitments?</t>
  </si>
  <si>
    <t>Did the file contain evidence that the evaluation process and the scoring rating system were reviewed with the Evaluation Committee, and that all members fully understood the scoring rating system?</t>
  </si>
  <si>
    <t>Was a Validation Meeting Held with all Evaluation Committee members present?</t>
  </si>
  <si>
    <t>GPM 6.2.2.1</t>
  </si>
  <si>
    <t>GPM 3.5.7</t>
  </si>
  <si>
    <t>GPM 3.6</t>
  </si>
  <si>
    <t>Yes</t>
  </si>
  <si>
    <t>Were all referenced attachments and/or supporting documents listed in Section 8 of the RFP included in the solicitation posting?  If "No", indicate missing documents in Comments.</t>
  </si>
  <si>
    <t>GPM 5.6.3.2.1; Table 5.6</t>
  </si>
  <si>
    <t xml:space="preserve">Were individual evaluation worksheets completed for the Technical Requirements, Form SPD-EP007? </t>
  </si>
  <si>
    <t>GPM 5.6.3.2.2; Table 5.7</t>
  </si>
  <si>
    <t>GPM 6.3.1</t>
  </si>
  <si>
    <t>GPM 4.5.7, 7.2.3</t>
  </si>
  <si>
    <t>Awarded Amount / Solicitation Type</t>
  </si>
  <si>
    <t>Solicitation # / Solicitation Name</t>
  </si>
  <si>
    <t>NOIA Date / NOA Dates</t>
  </si>
  <si>
    <t>RFP Posting  ─  Solicitation Information</t>
  </si>
  <si>
    <t xml:space="preserve">For questions concerning insurance and bonding, refer to the Insurance and Bonding Guidelines (Form SPD-SP048) found at: </t>
  </si>
  <si>
    <t xml:space="preserve">State entities are required to use current mandatory procurement forms and templates found at: </t>
  </si>
  <si>
    <t xml:space="preserve">Examples of External Authorizations: Georgia Technology Authority (GTA) approval, DOAS Fleet Div., Federal Entities, Executive Orders, BOR Security Policy Sign Off (for Universities Only).   </t>
  </si>
  <si>
    <t>Max Score</t>
  </si>
  <si>
    <t>Scored?</t>
  </si>
  <si>
    <t>Actual Score</t>
  </si>
  <si>
    <t>Rating</t>
  </si>
  <si>
    <r>
      <t>Team Georgia Marketplace</t>
    </r>
    <r>
      <rPr>
        <b/>
        <sz val="14"/>
        <color rgb="FF7030A0"/>
        <rFont val="Calibri"/>
        <family val="2"/>
      </rPr>
      <t>™</t>
    </r>
    <r>
      <rPr>
        <b/>
        <sz val="14"/>
        <color rgb="FF7030A0"/>
        <rFont val="Calibri"/>
        <family val="2"/>
        <scheme val="minor"/>
      </rPr>
      <t xml:space="preserve"> or Entity File Review</t>
    </r>
  </si>
  <si>
    <t>Scoring Methodology</t>
  </si>
  <si>
    <t>Gap Status</t>
  </si>
  <si>
    <t># of Errors by Reference</t>
  </si>
  <si>
    <t>Max Points Based on Reference Type</t>
  </si>
  <si>
    <t>Lost Points</t>
  </si>
  <si>
    <r>
      <t>Were all necessary external approvals (e.g. SPD, GTA, BOR), if any,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obtained?  </t>
    </r>
  </si>
  <si>
    <r>
      <t>Was warranty documentation in Team Georgia Marketplace</t>
    </r>
    <r>
      <rPr>
        <sz val="11"/>
        <rFont val="Calibri"/>
        <family val="2"/>
      </rPr>
      <t>™</t>
    </r>
    <r>
      <rPr>
        <sz val="11"/>
        <rFont val="Calibri"/>
        <family val="2"/>
        <scheme val="minor"/>
      </rPr>
      <t xml:space="preserve"> or present in the files, as applicable?</t>
    </r>
  </si>
  <si>
    <r>
      <t xml:space="preserve">FOR PI ONLY - </t>
    </r>
    <r>
      <rPr>
        <sz val="11"/>
        <color rgb="FF0070C0"/>
        <rFont val="Calibri"/>
        <family val="2"/>
        <scheme val="minor"/>
      </rPr>
      <t>Was there any agency correspondence or documents in the Compliance files that pertained to this solicitation?</t>
    </r>
  </si>
  <si>
    <r>
      <t xml:space="preserve">FOR PI ONLY - </t>
    </r>
    <r>
      <rPr>
        <sz val="11"/>
        <color rgb="FF0070C0"/>
        <rFont val="Calibri"/>
        <family val="2"/>
        <scheme val="minor"/>
      </rPr>
      <t>Was there an appropriate Special Approval granted prior to this solicitation?</t>
    </r>
  </si>
  <si>
    <t>Legal Issue</t>
  </si>
  <si>
    <r>
      <t xml:space="preserve">Enter requested information in blue cells.  Unshaded or </t>
    </r>
    <r>
      <rPr>
        <b/>
        <sz val="12"/>
        <color rgb="FFC00000"/>
        <rFont val="Calibri"/>
        <family val="2"/>
        <scheme val="minor"/>
      </rPr>
      <t>red</t>
    </r>
    <r>
      <rPr>
        <b/>
        <sz val="12"/>
        <color rgb="FF7030A0"/>
        <rFont val="Calibri"/>
        <family val="2"/>
        <scheme val="minor"/>
      </rPr>
      <t xml:space="preserve"> cells will populate based on information entered.</t>
    </r>
  </si>
  <si>
    <t>Were specifications clearly written and include purpose and scope of the procurement?  If there was an upheld protest over specifications, select "No".</t>
  </si>
  <si>
    <t>Ranges (Min / Max)</t>
  </si>
  <si>
    <t xml:space="preserve"> </t>
  </si>
  <si>
    <t>GPM 3.3.1</t>
  </si>
  <si>
    <t>N/A</t>
  </si>
  <si>
    <t>12a</t>
  </si>
  <si>
    <t>47</t>
  </si>
  <si>
    <t>Administrative Rules</t>
  </si>
  <si>
    <t>Do the overall points equal 1,000? (Compliance Level is calculated based on points entered above.)</t>
  </si>
  <si>
    <t>Answer Status</t>
  </si>
  <si>
    <t>Not Started</t>
  </si>
  <si>
    <t>Answered</t>
  </si>
  <si>
    <t>Total Questions</t>
  </si>
  <si>
    <t>10, 11</t>
  </si>
  <si>
    <t>4, 5, 27, 31, 36, 38, 48a-c</t>
  </si>
  <si>
    <t>Was there a protest? -&gt;</t>
  </si>
  <si>
    <t>State Entity Code / State Entity Name</t>
  </si>
  <si>
    <t>RFP Posting  ─  Evaluation</t>
  </si>
  <si>
    <t>Tier</t>
  </si>
  <si>
    <t>Excellent</t>
  </si>
  <si>
    <t>Acceptable</t>
  </si>
  <si>
    <t>Marginal</t>
  </si>
  <si>
    <t>Underperforming</t>
  </si>
  <si>
    <t>Unsatisfactory</t>
  </si>
  <si>
    <t>&lt;=59%</t>
  </si>
  <si>
    <t>&lt;= 74%</t>
  </si>
  <si>
    <t>&gt;= 60%</t>
  </si>
  <si>
    <t>&gt;= 75%</t>
  </si>
  <si>
    <t>&lt;= 84%</t>
  </si>
  <si>
    <t>&gt;= 85%</t>
  </si>
  <si>
    <t>&lt;= 94%</t>
  </si>
  <si>
    <t>&gt;= 95%</t>
  </si>
  <si>
    <t>Tier IV</t>
  </si>
  <si>
    <t>Tier III</t>
  </si>
  <si>
    <t>Tier I</t>
  </si>
  <si>
    <t>Tier II</t>
  </si>
  <si>
    <t>Score / Rating</t>
  </si>
  <si>
    <t>Explanation of Scoring</t>
  </si>
  <si>
    <t>Was a Statewide Contract Waiver granted prior to solicitation if goods/services were available on a Mandatory SWC?</t>
  </si>
  <si>
    <t>Was there a copy of the SWC Waiver in the file?</t>
  </si>
  <si>
    <t>Was the RFP Preparation Scorecard (SPD-SP051) completed prior to posting if applicable?</t>
  </si>
  <si>
    <t xml:space="preserve">Was the proper RFP template used? </t>
  </si>
  <si>
    <r>
      <t xml:space="preserve">Did the </t>
    </r>
    <r>
      <rPr>
        <sz val="11"/>
        <color indexed="8"/>
        <rFont val="Calibri"/>
        <family val="2"/>
        <scheme val="minor"/>
      </rPr>
      <t>scope answer the questions of who, what, when, where, and how (in no more than 4 paragraphs) clearly and concisely?</t>
    </r>
  </si>
  <si>
    <t>Was adequate market research and analysis conducted prior to the bid process?</t>
  </si>
  <si>
    <t>2a</t>
  </si>
  <si>
    <t>Did the RFP Proposal factors capture the key elements to be evaluated?</t>
  </si>
  <si>
    <t>Contract or Purchase Order Date</t>
  </si>
  <si>
    <t>Was Special Approval  to exceed DPA approved by SPD prior to solicitation?</t>
  </si>
  <si>
    <t>Were all necessary internal approvals, if any, obtained?</t>
  </si>
  <si>
    <t>5a</t>
  </si>
  <si>
    <t>7</t>
  </si>
  <si>
    <t>7a</t>
  </si>
  <si>
    <t>7b</t>
  </si>
  <si>
    <t>7c</t>
  </si>
  <si>
    <t>7d</t>
  </si>
  <si>
    <t>Was the time to complete all events realistic?</t>
  </si>
  <si>
    <t>9a</t>
  </si>
  <si>
    <t>9b</t>
  </si>
  <si>
    <t>11a</t>
  </si>
  <si>
    <t>Was additional insurance required?</t>
  </si>
  <si>
    <t>Did the bid factors correspond to the requirements of the solicitation?</t>
  </si>
  <si>
    <t>If there were any changes to the standard State of Georgia contract, SPD approve these changes?</t>
  </si>
  <si>
    <t>Were the correct five-digit NIGP Code(s) used to appropriately market the solicitation?</t>
  </si>
  <si>
    <t>If there were any questions received with the solicitation, were answers posted to the GPR?  Select N/A if there were no questions.</t>
  </si>
  <si>
    <t>Were Offerors' demonstrations a component of the solicitation?</t>
  </si>
  <si>
    <t>Were the results of the demonstrations in the files?</t>
  </si>
  <si>
    <t>Was there evidence of any Evaluation Committee members being replaced (due to conflict of interest, schedule conflicts, etc.)?</t>
  </si>
  <si>
    <t>Not Scored</t>
  </si>
  <si>
    <t>Was a link to the Department of Audits Immigration and Security Form included in the solicitation?</t>
  </si>
  <si>
    <t>17a</t>
  </si>
  <si>
    <t>19a</t>
  </si>
  <si>
    <t>19b</t>
  </si>
  <si>
    <t>19c</t>
  </si>
  <si>
    <t>22a</t>
  </si>
  <si>
    <t>22b</t>
  </si>
  <si>
    <t>22c</t>
  </si>
  <si>
    <t>24</t>
  </si>
  <si>
    <t>36</t>
  </si>
  <si>
    <t>37a</t>
  </si>
  <si>
    <t>40a</t>
  </si>
  <si>
    <t>46</t>
  </si>
  <si>
    <t>47a</t>
  </si>
  <si>
    <t>47b</t>
  </si>
  <si>
    <t>47c</t>
  </si>
  <si>
    <t>Was the NOIA posted on the GPR for at least 10 days prior to the posting of the NOA?</t>
  </si>
  <si>
    <t>If the solicitation exceeded $100,000, was the appropriate Notice of Intent to Award (Form SPD-AP004) posted correctly?</t>
  </si>
  <si>
    <t>Was the current Notice of Award (NOA) (Form SPD-AP005) posted correctly?</t>
  </si>
  <si>
    <r>
      <t>Were the RFP and awarded Suppliers' Response, Clarifications, and Negotiations uploaded to Team Georgia Marketplace</t>
    </r>
    <r>
      <rPr>
        <sz val="11"/>
        <rFont val="Calibri"/>
        <family val="2"/>
      </rPr>
      <t>™</t>
    </r>
    <r>
      <rPr>
        <sz val="11"/>
        <rFont val="Calibri"/>
        <family val="2"/>
        <scheme val="minor"/>
      </rPr>
      <t xml:space="preserve"> or included as exhibits in the awarded contract, as applicable?</t>
    </r>
  </si>
  <si>
    <r>
      <t>Was Proof of Insurance for the contract period uploaded to Team Georgia Marketplace</t>
    </r>
    <r>
      <rPr>
        <sz val="11"/>
        <rFont val="Calibri"/>
        <family val="2"/>
      </rPr>
      <t>™</t>
    </r>
    <r>
      <rPr>
        <sz val="11"/>
        <rFont val="Calibri"/>
        <family val="2"/>
        <scheme val="minor"/>
      </rPr>
      <t xml:space="preserve"> or present in the files?</t>
    </r>
  </si>
  <si>
    <r>
      <t>Were copies of required bonds for the contract period uploaded to Team Georgia Marketplace</t>
    </r>
    <r>
      <rPr>
        <sz val="11"/>
        <rFont val="Calibri"/>
        <family val="2"/>
      </rPr>
      <t>™</t>
    </r>
    <r>
      <rPr>
        <sz val="11"/>
        <rFont val="Calibri"/>
        <family val="2"/>
        <scheme val="minor"/>
      </rPr>
      <t xml:space="preserve"> or present in the files?</t>
    </r>
  </si>
  <si>
    <r>
      <t>Was the completed Department of Audits Immigration Security Form uploaded to Team Georgia Marketplace</t>
    </r>
    <r>
      <rPr>
        <sz val="11"/>
        <rFont val="Calibri"/>
        <family val="2"/>
      </rPr>
      <t>™</t>
    </r>
    <r>
      <rPr>
        <sz val="11"/>
        <rFont val="Calibri"/>
        <family val="2"/>
        <scheme val="minor"/>
      </rPr>
      <t xml:space="preserve"> or present in the files for all awarded suppliers?</t>
    </r>
  </si>
  <si>
    <t>Are all purchases to-date within the awarded amount or allowed overages?  Be sure to include any P-Card transactions with the supplier.</t>
  </si>
  <si>
    <t>Was a Major Proposal Factor for "Demonstration" with associated points included on the Master Requirements Form and captured on the related Worksheet?</t>
  </si>
  <si>
    <t>Were all eligible Offerors allowed to make a presentation?</t>
  </si>
  <si>
    <t>Entity Policy</t>
  </si>
  <si>
    <t>Is there a Contract Amendment Template (SPD-CP013) for each renewal uploaded to Team Georgia Marketplace™ or present in the files?</t>
  </si>
  <si>
    <t>Is there a Renewal Form (SPD-CP010) for each renewal uploaded to Team Georgia Marketplace™ or present in the files?</t>
  </si>
  <si>
    <t>Is there a completed Contract Assessment Report (SPD-CP019) for each renewal uploaded to Team Georgia Marketplace™ or present in the files?</t>
  </si>
  <si>
    <t>Select the TYPE of Solicitation</t>
  </si>
  <si>
    <t>Is Buyer Certified? Select One.</t>
  </si>
  <si>
    <t>Select # of Bids Received</t>
  </si>
  <si>
    <t>I.3.3</t>
  </si>
  <si>
    <t>Select the appropriate responses from the drop-down list in column E.</t>
  </si>
  <si>
    <t>If there were there any addenda to the solicitation, was the schedule of events changed to compensate for the changes?   Select "N/A" if there were no addenda or if the schedule did not need changes.</t>
  </si>
  <si>
    <t>Was the State Entity's Contracts Department/Division consulted to ensure that contract execution could be accomplished within the schedule of events?</t>
  </si>
  <si>
    <t xml:space="preserve">Are appropriate bond requirements in the solicitation as specified in the RFP?  </t>
  </si>
  <si>
    <t xml:space="preserve">Are appropriate insurance requirements in the contract as specified in the RFP?  </t>
  </si>
  <si>
    <t>GPM 3.6.1.</t>
  </si>
  <si>
    <t>Did SPD or the State Entity's legal department, as needed, approve any exceptions to the standard State of Georgia contract templates found on the SPD web site?</t>
  </si>
  <si>
    <t>Posting Date   /   Closing Date    /     # of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</si>
</sst>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1"/>
      <name val="Arial"/>
      <family val="2"/>
    </font>
    <font>
      <b/>
      <sz val="14"/>
      <color rgb="FF7030A0"/>
      <name val="Calibri"/>
      <family val="2"/>
    </font>
    <font>
      <b/>
      <sz val="11"/>
      <color rgb="FF7030A0"/>
      <name val="Calibri"/>
      <family val="2"/>
      <scheme val="minor"/>
    </font>
    <font>
      <sz val="18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</font>
    <font>
      <sz val="11"/>
      <color rgb="FF0070C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6EC7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thin">
        <color theme="7" tint="-0.24994659260841701"/>
      </bottom>
      <diagonal/>
    </border>
    <border>
      <left/>
      <right/>
      <top style="medium">
        <color theme="7" tint="-0.24994659260841701"/>
      </top>
      <bottom style="thin">
        <color theme="7" tint="-0.24994659260841701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rgb="FF006EC7"/>
      </left>
      <right style="thin">
        <color theme="0"/>
      </right>
      <top style="thin">
        <color rgb="FF006EC7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rgb="FF006EC7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006EC7"/>
      </top>
      <bottom style="thin">
        <color indexed="64"/>
      </bottom>
      <diagonal/>
    </border>
    <border>
      <left style="thin">
        <color rgb="FF006EC7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13" fillId="0" borderId="0"/>
    <xf numFmtId="0" fontId="21" fillId="3" borderId="2" applyNumberFormat="0" applyAlignment="0">
      <protection locked="0"/>
    </xf>
    <xf numFmtId="0" fontId="13" fillId="0" borderId="0"/>
  </cellStyleXfs>
  <cellXfs count="156">
    <xf numFmtId="0" fontId="0" fillId="0" borderId="0" xfId="0"/>
    <xf numFmtId="0" fontId="3" fillId="0" borderId="2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top" wrapText="1"/>
    </xf>
    <xf numFmtId="9" fontId="6" fillId="0" borderId="2" xfId="2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top" wrapText="1"/>
    </xf>
    <xf numFmtId="0" fontId="3" fillId="0" borderId="6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17" fillId="5" borderId="2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vertical="top" wrapText="1"/>
    </xf>
    <xf numFmtId="0" fontId="6" fillId="0" borderId="5" xfId="0" applyFont="1" applyFill="1" applyBorder="1" applyAlignment="1" applyProtection="1">
      <alignment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5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2" xfId="0" applyFill="1" applyBorder="1" applyAlignment="1" applyProtection="1">
      <alignment horizontal="center" vertical="center"/>
    </xf>
    <xf numFmtId="0" fontId="21" fillId="3" borderId="2" xfId="4" applyNumberFormat="1" applyAlignment="1">
      <alignment horizontal="center" vertical="center" wrapText="1"/>
      <protection locked="0"/>
    </xf>
    <xf numFmtId="44" fontId="21" fillId="3" borderId="2" xfId="4" applyNumberFormat="1" applyAlignment="1">
      <alignment horizontal="right" vertical="center" wrapText="1"/>
      <protection locked="0"/>
    </xf>
    <xf numFmtId="14" fontId="21" fillId="3" borderId="2" xfId="4" applyNumberFormat="1" applyAlignment="1">
      <alignment horizontal="center" vertical="center" wrapText="1"/>
      <protection locked="0"/>
    </xf>
    <xf numFmtId="49" fontId="21" fillId="3" borderId="2" xfId="4" applyNumberFormat="1" applyAlignment="1">
      <alignment horizontal="center" vertical="center" wrapText="1"/>
      <protection locked="0"/>
    </xf>
    <xf numFmtId="164" fontId="21" fillId="3" borderId="2" xfId="4" applyNumberFormat="1" applyAlignment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</xf>
    <xf numFmtId="9" fontId="0" fillId="0" borderId="2" xfId="2" applyFont="1" applyBorder="1" applyAlignment="1" applyProtection="1">
      <alignment vertical="center"/>
    </xf>
    <xf numFmtId="0" fontId="16" fillId="0" borderId="2" xfId="0" applyFont="1" applyFill="1" applyBorder="1" applyAlignment="1" applyProtection="1">
      <alignment vertical="top" wrapText="1"/>
    </xf>
    <xf numFmtId="0" fontId="6" fillId="0" borderId="2" xfId="0" applyFont="1" applyFill="1" applyBorder="1" applyAlignment="1" applyProtection="1">
      <alignment horizontal="center" vertical="top" wrapText="1"/>
    </xf>
    <xf numFmtId="0" fontId="6" fillId="6" borderId="2" xfId="0" applyFont="1" applyFill="1" applyBorder="1" applyAlignment="1" applyProtection="1">
      <alignment horizontal="center" vertical="top" wrapText="1"/>
    </xf>
    <xf numFmtId="0" fontId="18" fillId="0" borderId="2" xfId="0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21" fillId="3" borderId="2" xfId="4" applyBorder="1" applyAlignment="1">
      <alignment horizontal="left" vertical="top" wrapText="1"/>
      <protection locked="0"/>
    </xf>
    <xf numFmtId="0" fontId="21" fillId="3" borderId="2" xfId="4" applyBorder="1" applyAlignment="1">
      <alignment vertical="top" wrapText="1"/>
      <protection locked="0"/>
    </xf>
    <xf numFmtId="0" fontId="21" fillId="3" borderId="2" xfId="4" applyBorder="1" applyAlignment="1" applyProtection="1">
      <alignment vertical="top" wrapText="1"/>
      <protection locked="0"/>
    </xf>
    <xf numFmtId="0" fontId="22" fillId="6" borderId="9" xfId="3" applyFont="1" applyFill="1" applyBorder="1" applyAlignment="1" applyProtection="1">
      <alignment horizontal="center" vertical="center" wrapText="1"/>
    </xf>
    <xf numFmtId="0" fontId="22" fillId="2" borderId="9" xfId="3" applyFont="1" applyFill="1" applyBorder="1" applyAlignment="1" applyProtection="1">
      <alignment vertical="center" wrapText="1"/>
    </xf>
    <xf numFmtId="0" fontId="23" fillId="2" borderId="9" xfId="3" applyFont="1" applyFill="1" applyBorder="1" applyProtection="1"/>
    <xf numFmtId="0" fontId="4" fillId="2" borderId="9" xfId="3" applyFont="1" applyFill="1" applyBorder="1" applyAlignment="1" applyProtection="1">
      <alignment horizontal="center" vertical="center" wrapText="1"/>
    </xf>
    <xf numFmtId="0" fontId="24" fillId="2" borderId="9" xfId="3" applyFont="1" applyFill="1" applyBorder="1" applyAlignment="1" applyProtection="1">
      <alignment vertical="center" wrapText="1"/>
    </xf>
    <xf numFmtId="0" fontId="26" fillId="0" borderId="9" xfId="3" applyFont="1" applyBorder="1" applyAlignment="1">
      <alignment vertical="top" wrapText="1"/>
    </xf>
    <xf numFmtId="0" fontId="23" fillId="0" borderId="9" xfId="3" applyFont="1" applyBorder="1"/>
    <xf numFmtId="0" fontId="25" fillId="0" borderId="9" xfId="1" applyFont="1" applyBorder="1" applyAlignment="1" applyProtection="1">
      <alignment horizontal="left" vertical="top" wrapText="1"/>
      <protection locked="0"/>
    </xf>
    <xf numFmtId="0" fontId="25" fillId="2" borderId="9" xfId="1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</xf>
    <xf numFmtId="0" fontId="0" fillId="0" borderId="2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9" fontId="0" fillId="0" borderId="22" xfId="2" applyFont="1" applyBorder="1" applyAlignment="1" applyProtection="1">
      <alignment horizontal="center"/>
    </xf>
    <xf numFmtId="9" fontId="0" fillId="0" borderId="23" xfId="2" applyFont="1" applyBorder="1" applyAlignment="1" applyProtection="1">
      <alignment horizontal="center"/>
    </xf>
    <xf numFmtId="9" fontId="0" fillId="0" borderId="16" xfId="2" applyFont="1" applyBorder="1" applyAlignment="1" applyProtection="1">
      <alignment horizontal="center"/>
    </xf>
    <xf numFmtId="9" fontId="0" fillId="0" borderId="17" xfId="2" applyFont="1" applyBorder="1" applyAlignment="1" applyProtection="1">
      <alignment horizontal="center"/>
    </xf>
    <xf numFmtId="9" fontId="0" fillId="0" borderId="19" xfId="2" applyFont="1" applyBorder="1" applyAlignment="1" applyProtection="1">
      <alignment horizontal="center"/>
    </xf>
    <xf numFmtId="9" fontId="0" fillId="0" borderId="20" xfId="2" applyFont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49" fontId="4" fillId="0" borderId="2" xfId="5" applyNumberFormat="1" applyFont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9" fontId="0" fillId="0" borderId="0" xfId="2" applyFont="1" applyBorder="1" applyAlignment="1" applyProtection="1">
      <alignment vertical="center"/>
    </xf>
    <xf numFmtId="0" fontId="15" fillId="4" borderId="18" xfId="0" applyFont="1" applyFill="1" applyBorder="1" applyAlignment="1" applyProtection="1">
      <alignment horizontal="center"/>
    </xf>
    <xf numFmtId="0" fontId="21" fillId="3" borderId="2" xfId="4" applyFill="1" applyBorder="1" applyAlignment="1">
      <alignment horizontal="center" vertical="top" wrapText="1"/>
      <protection locked="0"/>
    </xf>
    <xf numFmtId="0" fontId="21" fillId="3" borderId="2" xfId="4" applyBorder="1" applyAlignment="1" applyProtection="1">
      <alignment horizontal="left" vertical="top" wrapText="1"/>
      <protection locked="0"/>
    </xf>
    <xf numFmtId="0" fontId="21" fillId="3" borderId="2" xfId="4" applyBorder="1" applyAlignment="1">
      <alignment horizontal="center" vertical="top" wrapText="1"/>
      <protection locked="0"/>
    </xf>
    <xf numFmtId="0" fontId="21" fillId="3" borderId="2" xfId="4" applyBorder="1" applyAlignment="1" applyProtection="1">
      <alignment horizontal="center" vertical="top" wrapText="1"/>
      <protection locked="0"/>
    </xf>
    <xf numFmtId="0" fontId="11" fillId="5" borderId="37" xfId="0" applyFont="1" applyFill="1" applyBorder="1" applyAlignment="1" applyProtection="1">
      <alignment horizontal="center" vertical="center" wrapText="1"/>
    </xf>
    <xf numFmtId="0" fontId="11" fillId="5" borderId="38" xfId="0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right" vertical="center" wrapText="1"/>
    </xf>
    <xf numFmtId="0" fontId="7" fillId="0" borderId="5" xfId="0" applyNumberFormat="1" applyFont="1" applyFill="1" applyBorder="1" applyAlignment="1" applyProtection="1">
      <alignment horizontal="right"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</xf>
    <xf numFmtId="0" fontId="7" fillId="0" borderId="2" xfId="0" applyNumberFormat="1" applyFont="1" applyFill="1" applyBorder="1" applyAlignment="1" applyProtection="1">
      <alignment horizontal="right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righ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5" fillId="4" borderId="32" xfId="0" applyFont="1" applyFill="1" applyBorder="1" applyAlignment="1" applyProtection="1">
      <alignment horizontal="center" vertical="center"/>
    </xf>
    <xf numFmtId="0" fontId="15" fillId="4" borderId="26" xfId="0" applyFont="1" applyFill="1" applyBorder="1" applyAlignment="1" applyProtection="1">
      <alignment horizontal="center" vertical="center"/>
    </xf>
    <xf numFmtId="0" fontId="15" fillId="4" borderId="25" xfId="0" applyFont="1" applyFill="1" applyBorder="1" applyAlignment="1" applyProtection="1">
      <alignment horizontal="center"/>
    </xf>
    <xf numFmtId="0" fontId="15" fillId="4" borderId="26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11" fillId="5" borderId="5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15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29" fillId="0" borderId="2" xfId="0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5" fillId="4" borderId="29" xfId="0" applyFont="1" applyFill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center" vertical="center"/>
    </xf>
    <xf numFmtId="0" fontId="15" fillId="4" borderId="31" xfId="0" applyFont="1" applyFill="1" applyBorder="1" applyAlignment="1" applyProtection="1">
      <alignment horizontal="center" vertical="center"/>
    </xf>
    <xf numFmtId="0" fontId="21" fillId="3" borderId="2" xfId="4" applyNumberFormat="1" applyAlignment="1">
      <alignment horizontal="left" vertical="center" wrapText="1"/>
      <protection locked="0"/>
    </xf>
    <xf numFmtId="49" fontId="21" fillId="3" borderId="2" xfId="4" applyNumberFormat="1" applyAlignment="1">
      <alignment horizontal="left" vertical="center" wrapText="1"/>
      <protection locked="0"/>
    </xf>
    <xf numFmtId="49" fontId="21" fillId="3" borderId="2" xfId="4" applyNumberFormat="1" applyAlignment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10" fillId="5" borderId="5" xfId="0" applyFont="1" applyFill="1" applyBorder="1" applyAlignment="1" applyProtection="1">
      <alignment horizontal="center" vertical="center" wrapText="1"/>
    </xf>
    <xf numFmtId="0" fontId="10" fillId="5" borderId="6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21" fillId="3" borderId="2" xfId="4" applyAlignment="1">
      <alignment horizontal="center" vertical="center" wrapText="1"/>
      <protection locked="0"/>
    </xf>
    <xf numFmtId="49" fontId="1" fillId="3" borderId="2" xfId="1" applyNumberFormat="1" applyFill="1" applyBorder="1" applyAlignment="1">
      <alignment horizontal="left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</xf>
    <xf numFmtId="0" fontId="18" fillId="4" borderId="6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0" fillId="5" borderId="33" xfId="0" applyFont="1" applyFill="1" applyBorder="1" applyAlignment="1" applyProtection="1">
      <alignment horizontal="center" vertical="top" wrapText="1"/>
    </xf>
    <xf numFmtId="0" fontId="10" fillId="5" borderId="34" xfId="0" applyFont="1" applyFill="1" applyBorder="1" applyAlignment="1" applyProtection="1">
      <alignment horizontal="center" vertical="top" wrapText="1"/>
    </xf>
    <xf numFmtId="0" fontId="10" fillId="5" borderId="35" xfId="0" applyFont="1" applyFill="1" applyBorder="1" applyAlignment="1" applyProtection="1">
      <alignment horizontal="center" vertical="top" wrapText="1"/>
    </xf>
    <xf numFmtId="0" fontId="5" fillId="4" borderId="5" xfId="0" applyFont="1" applyFill="1" applyBorder="1" applyAlignment="1" applyProtection="1">
      <alignment horizontal="center" vertical="top" wrapText="1"/>
    </xf>
    <xf numFmtId="0" fontId="5" fillId="4" borderId="6" xfId="0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 applyProtection="1">
      <alignment horizontal="center" vertical="top" wrapText="1"/>
    </xf>
    <xf numFmtId="0" fontId="11" fillId="5" borderId="36" xfId="0" applyFont="1" applyFill="1" applyBorder="1" applyAlignment="1" applyProtection="1">
      <alignment horizontal="center" vertical="center" wrapText="1"/>
    </xf>
    <xf numFmtId="0" fontId="11" fillId="5" borderId="37" xfId="0" applyFont="1" applyFill="1" applyBorder="1" applyAlignment="1" applyProtection="1">
      <alignment horizontal="center" vertical="center" wrapText="1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6" xfId="0" applyFont="1" applyFill="1" applyBorder="1" applyAlignment="1" applyProtection="1">
      <alignment horizontal="center" vertical="center" wrapText="1"/>
    </xf>
    <xf numFmtId="0" fontId="31" fillId="4" borderId="1" xfId="0" applyFont="1" applyFill="1" applyBorder="1" applyAlignment="1" applyProtection="1">
      <alignment horizontal="center" vertical="center" wrapText="1"/>
    </xf>
    <xf numFmtId="0" fontId="30" fillId="3" borderId="5" xfId="0" applyFont="1" applyFill="1" applyBorder="1" applyAlignment="1" applyProtection="1">
      <alignment horizontal="center" vertical="top" wrapText="1"/>
    </xf>
    <xf numFmtId="0" fontId="30" fillId="3" borderId="1" xfId="0" applyFont="1" applyFill="1" applyBorder="1" applyAlignment="1" applyProtection="1">
      <alignment horizontal="center" vertical="top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30" fillId="3" borderId="6" xfId="0" applyFont="1" applyFill="1" applyBorder="1" applyAlignment="1" applyProtection="1">
      <alignment horizontal="center" vertical="top" wrapText="1"/>
    </xf>
    <xf numFmtId="0" fontId="22" fillId="6" borderId="9" xfId="3" applyFont="1" applyFill="1" applyBorder="1" applyAlignment="1" applyProtection="1">
      <alignment horizontal="center" vertical="center" wrapText="1"/>
    </xf>
    <xf numFmtId="0" fontId="27" fillId="2" borderId="9" xfId="3" applyFont="1" applyFill="1" applyBorder="1" applyAlignment="1" applyProtection="1">
      <alignment horizontal="center" vertical="center" wrapText="1"/>
    </xf>
  </cellXfs>
  <cellStyles count="6">
    <cellStyle name="Hyperlink" xfId="1" builtinId="8"/>
    <cellStyle name="Input" xfId="4" builtinId="20" customBuiltin="1"/>
    <cellStyle name="Normal" xfId="0" builtinId="0"/>
    <cellStyle name="Normal 2" xfId="3"/>
    <cellStyle name="Normal 2 2" xfId="5"/>
    <cellStyle name="Percent" xfId="2" builtinId="5"/>
  </cellStyles>
  <dxfs count="71"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-0.499984740745262"/>
        </patternFill>
      </fill>
    </dxf>
    <dxf>
      <font>
        <color theme="6" tint="-0.499984740745262"/>
      </font>
      <fill>
        <patternFill>
          <bgColor theme="6" tint="-0.49998474074526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6" tint="-0.499984740745262"/>
      </font>
      <fill>
        <patternFill>
          <bgColor theme="6" tint="-0.499984740745262"/>
        </patternFill>
      </fill>
    </dxf>
    <dxf>
      <font>
        <color theme="6" tint="-0.499984740745262"/>
      </font>
      <fill>
        <patternFill>
          <bgColor theme="6" tint="-0.499984740745262"/>
        </patternFill>
      </fill>
    </dxf>
    <dxf>
      <fill>
        <patternFill>
          <bgColor rgb="FFFF0000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6" tint="-0.499984740745262"/>
      </font>
      <fill>
        <patternFill>
          <bgColor theme="6" tint="-0.49998474074526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theme="6" tint="-0.24994659260841701"/>
      </font>
      <fill>
        <patternFill>
          <bgColor theme="6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6EC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../../../state-purchasing/seven-stages-of-procurement/stage-3-solicitation-preparation" TargetMode="External"/><Relationship Id="rId1" Type="http://schemas.openxmlformats.org/officeDocument/2006/relationships/hyperlink" Target="../../../state-purchasing/seven-stages-of-procur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26"/>
  <sheetViews>
    <sheetView tabSelected="1" workbookViewId="0">
      <pane ySplit="2" topLeftCell="A3" activePane="bottomLeft" state="frozen"/>
      <selection pane="bottomLeft" activeCell="C3" sqref="C3"/>
    </sheetView>
  </sheetViews>
  <sheetFormatPr defaultColWidth="9.140625" defaultRowHeight="15" x14ac:dyDescent="0.25"/>
  <cols>
    <col min="1" max="1" width="23.5703125" style="18" customWidth="1"/>
    <col min="2" max="2" width="7.85546875" style="18" customWidth="1"/>
    <col min="3" max="3" width="17.5703125" style="18" customWidth="1"/>
    <col min="4" max="4" width="12.85546875" style="18" customWidth="1"/>
    <col min="5" max="5" width="10.28515625" style="18" customWidth="1"/>
    <col min="6" max="6" width="18.140625" style="18" customWidth="1"/>
    <col min="7" max="7" width="21.28515625" style="18" customWidth="1"/>
    <col min="8" max="8" width="14" style="18" customWidth="1"/>
    <col min="9" max="9" width="11.140625" style="18" customWidth="1"/>
    <col min="10" max="10" width="10.85546875" style="18" customWidth="1"/>
    <col min="11" max="11" width="12" style="18" customWidth="1"/>
    <col min="12" max="16384" width="9.140625" style="18"/>
  </cols>
  <sheetData>
    <row r="1" spans="1:12" s="2" customFormat="1" ht="30" customHeight="1" x14ac:dyDescent="0.25">
      <c r="A1" s="129" t="s">
        <v>93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2" s="1" customFormat="1" ht="31.5" customHeight="1" x14ac:dyDescent="0.25">
      <c r="A2" s="132" t="s">
        <v>112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s="1" customFormat="1" ht="30" customHeight="1" x14ac:dyDescent="0.25">
      <c r="A3" s="121" t="s">
        <v>129</v>
      </c>
      <c r="B3" s="122"/>
      <c r="C3" s="23"/>
      <c r="D3" s="120"/>
      <c r="E3" s="120"/>
      <c r="F3" s="120"/>
      <c r="G3" s="120"/>
      <c r="H3" s="4" t="s">
        <v>8</v>
      </c>
      <c r="I3" s="119"/>
      <c r="J3" s="119"/>
      <c r="K3" s="119"/>
      <c r="L3" s="6"/>
    </row>
    <row r="4" spans="1:12" s="1" customFormat="1" ht="30" customHeight="1" x14ac:dyDescent="0.25">
      <c r="A4" s="121" t="s">
        <v>91</v>
      </c>
      <c r="B4" s="122"/>
      <c r="C4" s="120"/>
      <c r="D4" s="120"/>
      <c r="E4" s="120"/>
      <c r="F4" s="120"/>
      <c r="G4" s="120"/>
      <c r="H4" s="4" t="s">
        <v>11</v>
      </c>
      <c r="I4" s="118"/>
      <c r="J4" s="118"/>
      <c r="K4" s="118"/>
      <c r="L4" s="6"/>
    </row>
    <row r="5" spans="1:12" s="1" customFormat="1" ht="30" customHeight="1" x14ac:dyDescent="0.25">
      <c r="A5" s="121" t="s">
        <v>90</v>
      </c>
      <c r="B5" s="122"/>
      <c r="C5" s="24"/>
      <c r="D5" s="118" t="s">
        <v>211</v>
      </c>
      <c r="E5" s="118"/>
      <c r="F5" s="118"/>
      <c r="G5" s="118"/>
      <c r="H5" s="4" t="s">
        <v>12</v>
      </c>
      <c r="I5" s="134"/>
      <c r="J5" s="119"/>
      <c r="K5" s="119"/>
      <c r="L5" s="6"/>
    </row>
    <row r="6" spans="1:12" s="1" customFormat="1" ht="30" customHeight="1" x14ac:dyDescent="0.25">
      <c r="A6" s="121" t="s">
        <v>222</v>
      </c>
      <c r="B6" s="122"/>
      <c r="C6" s="25"/>
      <c r="D6" s="25"/>
      <c r="E6" s="3">
        <f>D6-C6</f>
        <v>0</v>
      </c>
      <c r="F6" s="123"/>
      <c r="G6" s="124"/>
      <c r="H6" s="4" t="s">
        <v>13</v>
      </c>
      <c r="I6" s="118" t="s">
        <v>212</v>
      </c>
      <c r="J6" s="118"/>
      <c r="K6" s="118"/>
      <c r="L6" s="6"/>
    </row>
    <row r="7" spans="1:12" s="1" customFormat="1" ht="30" customHeight="1" x14ac:dyDescent="0.25">
      <c r="A7" s="121" t="s">
        <v>92</v>
      </c>
      <c r="B7" s="122"/>
      <c r="C7" s="25"/>
      <c r="D7" s="25"/>
      <c r="E7" s="3"/>
      <c r="F7" s="123"/>
      <c r="G7" s="124"/>
      <c r="H7" s="4" t="s">
        <v>36</v>
      </c>
      <c r="I7" s="119"/>
      <c r="J7" s="119"/>
      <c r="K7" s="119"/>
      <c r="L7" s="6"/>
    </row>
    <row r="8" spans="1:12" s="1" customFormat="1" ht="45" x14ac:dyDescent="0.25">
      <c r="A8" s="121" t="s">
        <v>159</v>
      </c>
      <c r="B8" s="122"/>
      <c r="C8" s="25"/>
      <c r="D8" s="125"/>
      <c r="E8" s="126"/>
      <c r="F8" s="123"/>
      <c r="G8" s="124"/>
      <c r="H8" s="4" t="s">
        <v>59</v>
      </c>
      <c r="I8" s="27"/>
      <c r="J8" s="27"/>
      <c r="K8" s="3" t="str">
        <f>IF(ISERROR(I8+J8),"", IF(I8+J8=1000, "","Total Points Must Equal 1000"))</f>
        <v>Total Points Must Equal 1000</v>
      </c>
      <c r="L8" s="6"/>
    </row>
    <row r="9" spans="1:12" s="1" customFormat="1" ht="30" customHeight="1" x14ac:dyDescent="0.25">
      <c r="A9" s="121" t="s">
        <v>128</v>
      </c>
      <c r="B9" s="122"/>
      <c r="C9" s="133"/>
      <c r="D9" s="133"/>
      <c r="E9" s="133"/>
      <c r="F9" s="3" t="s">
        <v>10</v>
      </c>
      <c r="G9" s="26" t="s">
        <v>213</v>
      </c>
      <c r="H9" s="4" t="s">
        <v>9</v>
      </c>
      <c r="I9" s="119"/>
      <c r="J9" s="119"/>
      <c r="K9" s="119"/>
      <c r="L9" s="6"/>
    </row>
    <row r="10" spans="1:12" s="9" customFormat="1" x14ac:dyDescent="0.25">
      <c r="G10" s="8"/>
      <c r="H10" s="10"/>
      <c r="I10" s="11" t="s">
        <v>115</v>
      </c>
      <c r="J10" s="11"/>
      <c r="K10" s="11"/>
      <c r="L10" s="11"/>
    </row>
    <row r="11" spans="1:12" ht="22.5" customHeight="1" x14ac:dyDescent="0.25">
      <c r="A11" s="94" t="s">
        <v>102</v>
      </c>
      <c r="B11" s="95"/>
      <c r="C11" s="95"/>
      <c r="D11" s="95"/>
      <c r="E11" s="95"/>
      <c r="F11" s="95"/>
      <c r="G11" s="95"/>
      <c r="H11" s="95"/>
      <c r="I11" s="95"/>
      <c r="J11" s="95"/>
      <c r="K11" s="96"/>
    </row>
    <row r="12" spans="1:12" s="19" customFormat="1" ht="30" x14ac:dyDescent="0.25">
      <c r="A12" s="97" t="s">
        <v>105</v>
      </c>
      <c r="B12" s="98"/>
      <c r="C12" s="99"/>
      <c r="D12" s="28" t="s">
        <v>104</v>
      </c>
      <c r="E12" s="28" t="s">
        <v>106</v>
      </c>
      <c r="F12" s="100" t="s">
        <v>114</v>
      </c>
      <c r="G12" s="101"/>
      <c r="H12" s="100" t="s">
        <v>149</v>
      </c>
      <c r="I12" s="102"/>
      <c r="J12" s="102"/>
      <c r="K12" s="101"/>
    </row>
    <row r="13" spans="1:12" x14ac:dyDescent="0.25">
      <c r="A13" s="108" t="s">
        <v>111</v>
      </c>
      <c r="B13" s="108"/>
      <c r="C13" s="5">
        <v>4</v>
      </c>
      <c r="D13" s="20">
        <f>COUNTIFS(reference,A13,gap,"Gap")</f>
        <v>0</v>
      </c>
      <c r="E13" s="20">
        <f>law_pts*D13</f>
        <v>0</v>
      </c>
      <c r="F13" s="29"/>
      <c r="G13" s="29">
        <v>0.59</v>
      </c>
      <c r="H13" s="17" t="s">
        <v>97</v>
      </c>
      <c r="I13" s="5">
        <f>SUMIF(scored,"Yes",max_score)</f>
        <v>122</v>
      </c>
      <c r="J13" s="109" t="str">
        <f>IF(I15&lt;=G13,"Unsatisfactory", IF(I15&lt;=G14,"Underperforming", IF(I15&lt;=G15,"Marginal",IF(I15&lt;=G16,"Acceptable", "Excellent"))))</f>
        <v>Unsatisfactory</v>
      </c>
      <c r="K13" s="110"/>
    </row>
    <row r="14" spans="1:12" x14ac:dyDescent="0.25">
      <c r="A14" s="108" t="s">
        <v>120</v>
      </c>
      <c r="B14" s="108"/>
      <c r="C14" s="5">
        <v>2</v>
      </c>
      <c r="D14" s="20">
        <f>COUNTIFS(reference,A14,gap,"Gap")</f>
        <v>0</v>
      </c>
      <c r="E14" s="20">
        <f>gpm_pts*D14</f>
        <v>0</v>
      </c>
      <c r="F14" s="29">
        <v>0.6</v>
      </c>
      <c r="G14" s="29">
        <v>0.74</v>
      </c>
      <c r="H14" s="17" t="s">
        <v>99</v>
      </c>
      <c r="I14" s="5">
        <f>IF(not_started&gt;0,0,SUMIF(scored,"Yes",score))</f>
        <v>0</v>
      </c>
      <c r="J14" s="111"/>
      <c r="K14" s="112"/>
    </row>
    <row r="15" spans="1:12" x14ac:dyDescent="0.25">
      <c r="A15" s="108" t="s">
        <v>17</v>
      </c>
      <c r="B15" s="108"/>
      <c r="C15" s="5">
        <v>1</v>
      </c>
      <c r="D15" s="20">
        <f>COUNTIFS(reference,A15,gap,"Gap")</f>
        <v>1</v>
      </c>
      <c r="E15" s="20">
        <f>trng_pts*D15</f>
        <v>1</v>
      </c>
      <c r="F15" s="29">
        <v>0.75</v>
      </c>
      <c r="G15" s="29">
        <v>0.84</v>
      </c>
      <c r="H15" s="17" t="s">
        <v>100</v>
      </c>
      <c r="I15" s="7">
        <f>IF(actual_score=0,0,ROUND(I14/I13,2))</f>
        <v>0</v>
      </c>
      <c r="J15" s="113"/>
      <c r="K15" s="114"/>
    </row>
    <row r="16" spans="1:12" x14ac:dyDescent="0.25">
      <c r="A16" s="108" t="s">
        <v>24</v>
      </c>
      <c r="B16" s="108"/>
      <c r="C16" s="5"/>
      <c r="D16" s="20"/>
      <c r="E16" s="21"/>
      <c r="F16" s="29">
        <v>0.85</v>
      </c>
      <c r="G16" s="29">
        <v>0.94</v>
      </c>
      <c r="H16" s="103" t="str">
        <f>IF(not_started&gt;0,"Actual Score and Ratings will not calculate unless all questions have been answered.","")</f>
        <v>Actual Score and Ratings will not calculate unless all questions have been answered.</v>
      </c>
      <c r="I16" s="104"/>
      <c r="J16" s="104"/>
      <c r="K16" s="104"/>
    </row>
    <row r="17" spans="1:11" x14ac:dyDescent="0.25">
      <c r="A17" s="107" t="s">
        <v>180</v>
      </c>
      <c r="B17" s="107"/>
      <c r="C17" s="5"/>
      <c r="D17" s="22">
        <f>SUM(D13:D16)</f>
        <v>1</v>
      </c>
      <c r="E17" s="22">
        <f>SUM(E13:E16)</f>
        <v>1</v>
      </c>
      <c r="F17" s="29">
        <v>0.95</v>
      </c>
      <c r="G17" s="29"/>
      <c r="H17" s="105"/>
      <c r="I17" s="106"/>
      <c r="J17" s="106"/>
      <c r="K17" s="106"/>
    </row>
    <row r="18" spans="1:11" x14ac:dyDescent="0.25">
      <c r="A18" s="60"/>
      <c r="B18" s="60"/>
      <c r="C18" s="61"/>
      <c r="D18" s="62"/>
      <c r="E18" s="62"/>
      <c r="F18" s="63"/>
      <c r="G18" s="63"/>
      <c r="H18" s="58"/>
      <c r="I18" s="58"/>
      <c r="J18" s="58"/>
      <c r="K18" s="58"/>
    </row>
    <row r="19" spans="1:11" ht="15.75" thickBot="1" x14ac:dyDescent="0.3">
      <c r="H19" s="35"/>
      <c r="I19" s="35"/>
      <c r="J19" s="35"/>
      <c r="K19" s="35"/>
    </row>
    <row r="20" spans="1:11" x14ac:dyDescent="0.25">
      <c r="G20" s="115" t="s">
        <v>150</v>
      </c>
      <c r="H20" s="116"/>
      <c r="I20" s="116"/>
      <c r="J20" s="116"/>
      <c r="K20" s="117"/>
    </row>
    <row r="21" spans="1:11" x14ac:dyDescent="0.25">
      <c r="G21" s="88" t="s">
        <v>114</v>
      </c>
      <c r="H21" s="89"/>
      <c r="I21" s="90" t="s">
        <v>100</v>
      </c>
      <c r="J21" s="91"/>
      <c r="K21" s="64" t="s">
        <v>131</v>
      </c>
    </row>
    <row r="22" spans="1:11" x14ac:dyDescent="0.25">
      <c r="G22" s="54" t="s">
        <v>144</v>
      </c>
      <c r="H22" s="55"/>
      <c r="I22" s="92" t="s">
        <v>132</v>
      </c>
      <c r="J22" s="93"/>
      <c r="K22" s="50" t="s">
        <v>147</v>
      </c>
    </row>
    <row r="23" spans="1:11" x14ac:dyDescent="0.25">
      <c r="G23" s="52" t="s">
        <v>142</v>
      </c>
      <c r="H23" s="53" t="s">
        <v>143</v>
      </c>
      <c r="I23" s="92" t="s">
        <v>133</v>
      </c>
      <c r="J23" s="93"/>
      <c r="K23" s="49" t="s">
        <v>147</v>
      </c>
    </row>
    <row r="24" spans="1:11" x14ac:dyDescent="0.25">
      <c r="G24" s="54" t="s">
        <v>140</v>
      </c>
      <c r="H24" s="55" t="s">
        <v>141</v>
      </c>
      <c r="I24" s="92" t="s">
        <v>134</v>
      </c>
      <c r="J24" s="93"/>
      <c r="K24" s="50" t="s">
        <v>148</v>
      </c>
    </row>
    <row r="25" spans="1:11" x14ac:dyDescent="0.25">
      <c r="G25" s="54" t="s">
        <v>139</v>
      </c>
      <c r="H25" s="55" t="s">
        <v>138</v>
      </c>
      <c r="I25" s="92" t="s">
        <v>135</v>
      </c>
      <c r="J25" s="93"/>
      <c r="K25" s="50" t="s">
        <v>146</v>
      </c>
    </row>
    <row r="26" spans="1:11" ht="15.75" thickBot="1" x14ac:dyDescent="0.3">
      <c r="G26" s="56"/>
      <c r="H26" s="57" t="s">
        <v>137</v>
      </c>
      <c r="I26" s="127" t="s">
        <v>136</v>
      </c>
      <c r="J26" s="128"/>
      <c r="K26" s="51" t="s">
        <v>145</v>
      </c>
    </row>
  </sheetData>
  <sheetProtection algorithmName="SHA-512" hashValue="Qml0t3FERXjA2+FhkktgOz+Qsmemz8mtDPz+QAsTUFRqXmaD1LxdFQPR3ESIeT5w0FF+Cbu0kRmsLLOOCmJjuA==" saltValue="J2gDHxsViIPbIv7msxXjRg==" spinCount="100000" sheet="1" objects="1" scenarios="1"/>
  <mergeCells count="43">
    <mergeCell ref="I23:J23"/>
    <mergeCell ref="I24:J24"/>
    <mergeCell ref="I25:J25"/>
    <mergeCell ref="I26:J26"/>
    <mergeCell ref="A1:K1"/>
    <mergeCell ref="A2:K2"/>
    <mergeCell ref="C9:E9"/>
    <mergeCell ref="A5:B5"/>
    <mergeCell ref="I5:K5"/>
    <mergeCell ref="A6:B6"/>
    <mergeCell ref="I6:K6"/>
    <mergeCell ref="A8:B8"/>
    <mergeCell ref="I9:K9"/>
    <mergeCell ref="A7:B7"/>
    <mergeCell ref="I7:K7"/>
    <mergeCell ref="A4:B4"/>
    <mergeCell ref="I4:K4"/>
    <mergeCell ref="I3:K3"/>
    <mergeCell ref="D3:G3"/>
    <mergeCell ref="A9:B9"/>
    <mergeCell ref="C4:D4"/>
    <mergeCell ref="A3:B3"/>
    <mergeCell ref="F6:G6"/>
    <mergeCell ref="E4:G4"/>
    <mergeCell ref="D5:G5"/>
    <mergeCell ref="F7:G7"/>
    <mergeCell ref="F8:G8"/>
    <mergeCell ref="D8:E8"/>
    <mergeCell ref="G21:H21"/>
    <mergeCell ref="I21:J21"/>
    <mergeCell ref="I22:J22"/>
    <mergeCell ref="A11:K11"/>
    <mergeCell ref="A12:C12"/>
    <mergeCell ref="F12:G12"/>
    <mergeCell ref="H12:K12"/>
    <mergeCell ref="H16:K17"/>
    <mergeCell ref="A17:B17"/>
    <mergeCell ref="A16:B16"/>
    <mergeCell ref="J13:K15"/>
    <mergeCell ref="A13:B13"/>
    <mergeCell ref="A14:B14"/>
    <mergeCell ref="A15:B15"/>
    <mergeCell ref="G20:K20"/>
  </mergeCells>
  <conditionalFormatting sqref="I6:K6">
    <cfRule type="cellIs" dxfId="70" priority="14" operator="equal">
      <formula>"NO-Buyer is NOT GCPA Certified"</formula>
    </cfRule>
  </conditionalFormatting>
  <conditionalFormatting sqref="D5">
    <cfRule type="cellIs" dxfId="69" priority="21" operator="equal">
      <formula>"Type of solicitation not selected"</formula>
    </cfRule>
  </conditionalFormatting>
  <conditionalFormatting sqref="E6:E7">
    <cfRule type="cellIs" dxfId="68" priority="17" operator="equal">
      <formula>"&lt;-- Need Dates"</formula>
    </cfRule>
  </conditionalFormatting>
  <conditionalFormatting sqref="K8">
    <cfRule type="cellIs" dxfId="67" priority="16" operator="equal">
      <formula>"Total Points Must Equal 1000"</formula>
    </cfRule>
  </conditionalFormatting>
  <conditionalFormatting sqref="G10">
    <cfRule type="cellIs" dxfId="66" priority="8" stopIfTrue="1" operator="equal">
      <formula>"Low Risk"</formula>
    </cfRule>
    <cfRule type="cellIs" dxfId="65" priority="9" stopIfTrue="1" operator="equal">
      <formula>"Medium Risk"</formula>
    </cfRule>
    <cfRule type="cellIs" dxfId="64" priority="11" stopIfTrue="1" operator="equal">
      <formula>"High Risk"</formula>
    </cfRule>
  </conditionalFormatting>
  <conditionalFormatting sqref="J13:K15">
    <cfRule type="cellIs" dxfId="63" priority="3" operator="equal">
      <formula>"Excellent"</formula>
    </cfRule>
    <cfRule type="cellIs" dxfId="62" priority="4" operator="equal">
      <formula>"Acceptable"</formula>
    </cfRule>
    <cfRule type="cellIs" dxfId="61" priority="5" operator="equal">
      <formula>"Marginal"</formula>
    </cfRule>
    <cfRule type="cellIs" dxfId="60" priority="6" operator="equal">
      <formula>"Underperforming"</formula>
    </cfRule>
    <cfRule type="cellIs" dxfId="59" priority="7" operator="equal">
      <formula>"Unsatisfactory"</formula>
    </cfRule>
  </conditionalFormatting>
  <dataValidations count="5">
    <dataValidation type="list" allowBlank="1" showInputMessage="1" showErrorMessage="1" sqref="I6:K6">
      <formula1>"Is Buyer Certified? Select One., Yes - GCPA, Yes - RFP Certificate, Yes - GCPM, No - Buyer Not Certified"</formula1>
    </dataValidation>
    <dataValidation type="list" allowBlank="1" showErrorMessage="1" errorTitle="Input Error" error="The value you entered is not valid for this cell.  Please select from the drop-down box." promptTitle="Compliance Level" prompt="Select value from the dropdown list." sqref="G9">
      <formula1>"Select # of Bids Received, 1, 2 to 5, 6 to 9,10 Or Greater"</formula1>
    </dataValidation>
    <dataValidation allowBlank="1" showErrorMessage="1" sqref="I9"/>
    <dataValidation type="list" allowBlank="1" showInputMessage="1" showErrorMessage="1" errorTitle="Input Error" error="The value you entered is not valid for this cell.  Please select from the drop-down box." prompt="This cell determines the complexity of the solicitation." sqref="D5">
      <formula1>"Select the TYPE of Solicitation, Non-Complex Goods, Non-Complex Services, Non-Complex IT, Complex Goods, Complex Services, Complex IT, Combination Goods / Services / IT"</formula1>
    </dataValidation>
    <dataValidation type="list" errorStyle="warning" allowBlank="1" showErrorMessage="1" errorTitle="Input Error" error="The value you entered is not valid for this cell.  Please try again." promptTitle="Compliance Level" prompt="Select value from the dropdown list." sqref="C9:E9">
      <formula1>" Was there a protest? Select One. ,No, YES - Frivolous, YES - Denied, YES - RFP Cancelled, YES - Other, YES - Sustained"</formula1>
    </dataValidation>
  </dataValidations>
  <pageMargins left="1.7" right="0.7" top="0.75" bottom="0.75" header="0.3" footer="0.3"/>
  <pageSetup paperSize="5" scale="85" orientation="landscape" r:id="rId1"/>
  <headerFooter>
    <oddFooter>&amp;LCopyright © 2010 – DOAS State Purchasing Division&amp;CRevised 09/01/16&amp;RPage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</sheetPr>
  <dimension ref="A1:XFC83"/>
  <sheetViews>
    <sheetView showGridLines="0" zoomScale="80" zoomScaleNormal="80" workbookViewId="0">
      <pane ySplit="3" topLeftCell="A4" activePane="bottomLeft" state="frozen"/>
      <selection pane="bottomLeft" activeCell="Q1" sqref="Q1:Q1048576"/>
    </sheetView>
  </sheetViews>
  <sheetFormatPr defaultColWidth="3.28515625" defaultRowHeight="15" x14ac:dyDescent="0.25"/>
  <cols>
    <col min="1" max="1" width="7.42578125" style="87" customWidth="1"/>
    <col min="2" max="2" width="56.28515625" style="6" customWidth="1"/>
    <col min="3" max="3" width="16.28515625" style="6" customWidth="1"/>
    <col min="4" max="4" width="17" style="6" customWidth="1"/>
    <col min="5" max="5" width="14.42578125" style="31" customWidth="1"/>
    <col min="6" max="6" width="9.42578125" style="6" customWidth="1"/>
    <col min="7" max="7" width="9.5703125" style="31" customWidth="1"/>
    <col min="8" max="8" width="32.28515625" style="6" customWidth="1"/>
    <col min="9" max="9" width="1.7109375" style="6" customWidth="1"/>
    <col min="10" max="13" width="0" style="5" hidden="1" customWidth="1"/>
    <col min="14" max="17" width="0" style="6" hidden="1" customWidth="1"/>
    <col min="18" max="16384" width="3.28515625" style="6"/>
  </cols>
  <sheetData>
    <row r="1" spans="1:17" s="30" customFormat="1" ht="23.25" x14ac:dyDescent="0.25">
      <c r="A1" s="138" t="s">
        <v>130</v>
      </c>
      <c r="B1" s="139"/>
      <c r="C1" s="139"/>
      <c r="D1" s="139"/>
      <c r="E1" s="139"/>
      <c r="F1" s="139"/>
      <c r="G1" s="139"/>
      <c r="H1" s="140"/>
      <c r="J1" s="34"/>
      <c r="K1" s="34"/>
      <c r="L1" s="34"/>
      <c r="M1" s="34"/>
    </row>
    <row r="2" spans="1:17" ht="21" x14ac:dyDescent="0.25">
      <c r="A2" s="146" t="s">
        <v>215</v>
      </c>
      <c r="B2" s="147"/>
      <c r="C2" s="147"/>
      <c r="D2" s="147"/>
      <c r="E2" s="147"/>
      <c r="F2" s="147"/>
      <c r="G2" s="147"/>
      <c r="H2" s="148"/>
    </row>
    <row r="3" spans="1:17" s="33" customFormat="1" ht="37.5" x14ac:dyDescent="0.25">
      <c r="A3" s="144" t="s">
        <v>0</v>
      </c>
      <c r="B3" s="145"/>
      <c r="C3" s="69" t="s">
        <v>29</v>
      </c>
      <c r="D3" s="69" t="s">
        <v>14</v>
      </c>
      <c r="E3" s="69" t="s">
        <v>1</v>
      </c>
      <c r="F3" s="69" t="s">
        <v>15</v>
      </c>
      <c r="G3" s="69" t="s">
        <v>97</v>
      </c>
      <c r="H3" s="70" t="s">
        <v>2</v>
      </c>
      <c r="J3" s="12" t="s">
        <v>98</v>
      </c>
      <c r="K3" s="12" t="s">
        <v>103</v>
      </c>
      <c r="L3" s="12" t="s">
        <v>106</v>
      </c>
      <c r="M3" s="12" t="s">
        <v>122</v>
      </c>
    </row>
    <row r="4" spans="1:17" s="13" customFormat="1" ht="18.75" x14ac:dyDescent="0.25">
      <c r="A4" s="141" t="s">
        <v>37</v>
      </c>
      <c r="B4" s="142"/>
      <c r="C4" s="142"/>
      <c r="D4" s="142"/>
      <c r="E4" s="142"/>
      <c r="F4" s="142"/>
      <c r="G4" s="142"/>
      <c r="H4" s="143"/>
      <c r="J4" s="135"/>
      <c r="K4" s="136"/>
      <c r="L4" s="136"/>
      <c r="M4" s="137"/>
    </row>
    <row r="5" spans="1:17" ht="30" x14ac:dyDescent="0.25">
      <c r="A5" s="71">
        <v>1</v>
      </c>
      <c r="B5" s="14" t="s">
        <v>160</v>
      </c>
      <c r="C5" s="31" t="s">
        <v>120</v>
      </c>
      <c r="D5" s="15" t="s">
        <v>60</v>
      </c>
      <c r="E5" s="65"/>
      <c r="F5" s="31" t="str">
        <f>IF(E5="","",IF(E5="No", 0, G5))</f>
        <v/>
      </c>
      <c r="G5" s="31">
        <f t="shared" ref="G5:G6" si="0">IF(E5="N/A",0,IF(C5="Legal Issue", law_pts, IF(C5="Administrative Rules", gpm_pts, trng_pts)))</f>
        <v>2</v>
      </c>
      <c r="H5" s="66"/>
      <c r="J5" s="5" t="s">
        <v>83</v>
      </c>
      <c r="K5" s="5" t="str">
        <f>IF(OR(E5="", E5="N/A", E5="Yes"),"","Gap")</f>
        <v/>
      </c>
      <c r="L5" s="5">
        <f>IF(E5="",0,G5-F5)</f>
        <v>0</v>
      </c>
      <c r="M5" s="5" t="str">
        <f>IF(ISBLANK(E5)=TRUE,"Not Started","Answered")</f>
        <v>Not Started</v>
      </c>
      <c r="P5" s="6" t="s">
        <v>123</v>
      </c>
      <c r="Q5" s="6">
        <f>COUNTIF(answer_status,"Not Started")</f>
        <v>56</v>
      </c>
    </row>
    <row r="6" spans="1:17" ht="30" x14ac:dyDescent="0.25">
      <c r="A6" s="72">
        <v>2</v>
      </c>
      <c r="B6" s="14" t="s">
        <v>151</v>
      </c>
      <c r="C6" s="31" t="s">
        <v>120</v>
      </c>
      <c r="D6" s="15" t="s">
        <v>16</v>
      </c>
      <c r="E6" s="65"/>
      <c r="F6" s="31" t="str">
        <f>IF(E6="","",IF(E6="No", 0, G6))</f>
        <v/>
      </c>
      <c r="G6" s="31">
        <f t="shared" si="0"/>
        <v>2</v>
      </c>
      <c r="H6" s="66"/>
      <c r="J6" s="5" t="s">
        <v>83</v>
      </c>
      <c r="K6" s="5" t="str">
        <f>IF(OR(E6="", E6="N/A", E6="Yes"),"","Gap")</f>
        <v/>
      </c>
      <c r="L6" s="5">
        <f>IF(E6="",0,G6-F6)</f>
        <v>0</v>
      </c>
      <c r="M6" s="5" t="str">
        <f t="shared" ref="M6:M34" si="1">IF(ISBLANK(E6)=TRUE,"Not Started","Answered")</f>
        <v>Not Started</v>
      </c>
      <c r="P6" s="6" t="s">
        <v>124</v>
      </c>
      <c r="Q6" s="6">
        <f>COUNTIF(answer_status,"Answered")</f>
        <v>10</v>
      </c>
    </row>
    <row r="7" spans="1:17" ht="30" x14ac:dyDescent="0.25">
      <c r="A7" s="72" t="s">
        <v>157</v>
      </c>
      <c r="B7" s="14" t="s">
        <v>152</v>
      </c>
      <c r="C7" s="31" t="s">
        <v>120</v>
      </c>
      <c r="D7" s="15" t="s">
        <v>16</v>
      </c>
      <c r="E7" s="65"/>
      <c r="F7" s="31" t="str">
        <f>IF(E7="","",IF(E7="No", 0, G7))</f>
        <v/>
      </c>
      <c r="G7" s="31">
        <f t="shared" ref="G7" si="2">IF(E7="N/A",0,IF(C7="Legal Issue", law_pts, IF(C7="Administrative Rules", gpm_pts, trng_pts)))</f>
        <v>2</v>
      </c>
      <c r="H7" s="66"/>
      <c r="J7" s="5" t="s">
        <v>83</v>
      </c>
      <c r="K7" s="5" t="str">
        <f>IF(OR(E7="", E7="N/A", E7="Yes"),"","Gap")</f>
        <v/>
      </c>
      <c r="L7" s="5">
        <f>IF(E7="",0,G7-F7)</f>
        <v>0</v>
      </c>
      <c r="M7" s="5" t="str">
        <f t="shared" ref="M7" si="3">IF(ISBLANK(E7)=TRUE,"Not Started","Answered")</f>
        <v>Not Started</v>
      </c>
    </row>
    <row r="8" spans="1:17" ht="30" x14ac:dyDescent="0.25">
      <c r="A8" s="72">
        <v>3</v>
      </c>
      <c r="B8" s="14" t="s">
        <v>107</v>
      </c>
      <c r="C8" s="31" t="s">
        <v>120</v>
      </c>
      <c r="D8" s="15" t="s">
        <v>116</v>
      </c>
      <c r="E8" s="67"/>
      <c r="F8" s="48" t="str">
        <f>IF(E8="","",IF(E8="No",0,IF(E8="Needs Improvement", G8-1,G8)))</f>
        <v/>
      </c>
      <c r="G8" s="31">
        <f t="shared" ref="G8:G34" si="4">IF(E8="N/A",0,IF(C8="Legal Issue", law_pts, IF(C8="Administrative Rules", gpm_pts, trng_pts)))</f>
        <v>2</v>
      </c>
      <c r="H8" s="66"/>
      <c r="J8" s="5" t="s">
        <v>83</v>
      </c>
      <c r="K8" s="5" t="str">
        <f>IF(OR(E8="", E8="N/A", E8="Yes"),"","Gap")</f>
        <v/>
      </c>
      <c r="L8" s="5">
        <f>IF(E8="",0,G8-F8)</f>
        <v>0</v>
      </c>
      <c r="M8" s="5" t="str">
        <f t="shared" si="1"/>
        <v>Not Started</v>
      </c>
      <c r="P8" s="6" t="s">
        <v>125</v>
      </c>
      <c r="Q8" s="6">
        <f>SUM(Q5:Q6)</f>
        <v>66</v>
      </c>
    </row>
    <row r="9" spans="1:17" ht="30" x14ac:dyDescent="0.25">
      <c r="A9" s="72">
        <v>4</v>
      </c>
      <c r="B9" s="14" t="s">
        <v>161</v>
      </c>
      <c r="C9" s="31" t="s">
        <v>24</v>
      </c>
      <c r="D9" s="15" t="s">
        <v>207</v>
      </c>
      <c r="E9" s="67"/>
      <c r="F9" s="48" t="str">
        <f>IF(E9="","",IF(E9="No",0,IF(E9="Needs Improvement", G9-1,G9)))</f>
        <v/>
      </c>
      <c r="G9" s="31">
        <f t="shared" ref="G9" si="5">IF(E9="N/A",0,IF(C9="Legal Issue", law_pts, IF(C9="Administrative Rules", gpm_pts, trng_pts)))</f>
        <v>1</v>
      </c>
      <c r="H9" s="66"/>
      <c r="J9" s="5" t="s">
        <v>83</v>
      </c>
      <c r="K9" s="5" t="str">
        <f>IF(OR(E9="", E9="N/A", E9="Yes"),"","Gap")</f>
        <v/>
      </c>
      <c r="L9" s="5">
        <f>IF(E9="",0,G9-F9)</f>
        <v>0</v>
      </c>
      <c r="M9" s="5" t="str">
        <f t="shared" ref="M9" si="6">IF(ISBLANK(E9)=TRUE,"Not Started","Answered")</f>
        <v>Not Started</v>
      </c>
      <c r="P9" s="6" t="s">
        <v>125</v>
      </c>
      <c r="Q9" s="6">
        <f>SUM(Q6:Q7)</f>
        <v>10</v>
      </c>
    </row>
    <row r="10" spans="1:17" ht="18.75" x14ac:dyDescent="0.25">
      <c r="A10" s="141" t="s">
        <v>38</v>
      </c>
      <c r="B10" s="142"/>
      <c r="C10" s="142"/>
      <c r="D10" s="142"/>
      <c r="E10" s="142"/>
      <c r="F10" s="142"/>
      <c r="G10" s="142"/>
      <c r="H10" s="143"/>
      <c r="J10" s="135"/>
      <c r="K10" s="136"/>
      <c r="L10" s="136"/>
      <c r="M10" s="137"/>
    </row>
    <row r="11" spans="1:17" ht="30" x14ac:dyDescent="0.25">
      <c r="A11" s="72">
        <v>5</v>
      </c>
      <c r="B11" s="14" t="s">
        <v>153</v>
      </c>
      <c r="C11" s="31" t="s">
        <v>120</v>
      </c>
      <c r="D11" s="15" t="s">
        <v>34</v>
      </c>
      <c r="E11" s="67"/>
      <c r="F11" s="48" t="str">
        <f>IF(E11="","",IF(E11="No",0,IF(E11="Needs Improvement", G11-1,G11)))</f>
        <v/>
      </c>
      <c r="G11" s="31">
        <f t="shared" ref="G11:G18" si="7">IF(E11="N/A",0,IF(C11="Legal Issue", law_pts, IF(C11="Administrative Rules", gpm_pts, trng_pts)))</f>
        <v>2</v>
      </c>
      <c r="H11" s="66"/>
      <c r="J11" s="5" t="s">
        <v>83</v>
      </c>
      <c r="K11" s="5" t="str">
        <f t="shared" ref="K11:K17" si="8">IF(OR(E11="", E11="N/A", E11="Yes"),"","Gap")</f>
        <v/>
      </c>
      <c r="L11" s="5">
        <f t="shared" ref="L11:L34" si="9">IF(E11="",0,G11-F11)</f>
        <v>0</v>
      </c>
      <c r="M11" s="5" t="str">
        <f t="shared" si="1"/>
        <v>Not Started</v>
      </c>
    </row>
    <row r="12" spans="1:17" ht="30" x14ac:dyDescent="0.25">
      <c r="A12" s="73" t="s">
        <v>162</v>
      </c>
      <c r="B12" s="14" t="s">
        <v>39</v>
      </c>
      <c r="C12" s="31" t="s">
        <v>120</v>
      </c>
      <c r="D12" s="15" t="s">
        <v>34</v>
      </c>
      <c r="E12" s="65"/>
      <c r="F12" s="48" t="str">
        <f t="shared" ref="F12:F34" si="10">IF(E12="","",IF(E12="No",0,IF(E12="Needs Improvement", G12-1,G12)))</f>
        <v/>
      </c>
      <c r="G12" s="31">
        <f t="shared" si="7"/>
        <v>2</v>
      </c>
      <c r="H12" s="66"/>
      <c r="J12" s="5" t="s">
        <v>83</v>
      </c>
      <c r="K12" s="5" t="str">
        <f t="shared" si="8"/>
        <v/>
      </c>
      <c r="L12" s="5">
        <f t="shared" si="9"/>
        <v>0</v>
      </c>
      <c r="M12" s="5" t="str">
        <f t="shared" si="1"/>
        <v>Not Started</v>
      </c>
    </row>
    <row r="13" spans="1:17" ht="30" x14ac:dyDescent="0.25">
      <c r="A13" s="74">
        <v>6</v>
      </c>
      <c r="B13" s="14" t="s">
        <v>154</v>
      </c>
      <c r="C13" s="31" t="s">
        <v>120</v>
      </c>
      <c r="D13" s="15" t="s">
        <v>61</v>
      </c>
      <c r="E13" s="65"/>
      <c r="F13" s="48" t="str">
        <f t="shared" si="10"/>
        <v/>
      </c>
      <c r="G13" s="31">
        <f t="shared" si="7"/>
        <v>2</v>
      </c>
      <c r="H13" s="66"/>
      <c r="J13" s="5" t="s">
        <v>83</v>
      </c>
      <c r="K13" s="5" t="str">
        <f t="shared" si="8"/>
        <v/>
      </c>
      <c r="L13" s="5">
        <f t="shared" si="9"/>
        <v>0</v>
      </c>
      <c r="M13" s="5" t="str">
        <f t="shared" si="1"/>
        <v>Not Started</v>
      </c>
    </row>
    <row r="14" spans="1:17" ht="45" x14ac:dyDescent="0.25">
      <c r="A14" s="75" t="s">
        <v>163</v>
      </c>
      <c r="B14" s="14" t="s">
        <v>113</v>
      </c>
      <c r="C14" s="31" t="s">
        <v>120</v>
      </c>
      <c r="D14" s="15" t="s">
        <v>61</v>
      </c>
      <c r="E14" s="67"/>
      <c r="F14" s="48" t="str">
        <f t="shared" si="10"/>
        <v/>
      </c>
      <c r="G14" s="31">
        <f t="shared" si="7"/>
        <v>2</v>
      </c>
      <c r="H14" s="66"/>
      <c r="J14" s="5" t="s">
        <v>83</v>
      </c>
      <c r="K14" s="5" t="str">
        <f t="shared" si="8"/>
        <v/>
      </c>
      <c r="L14" s="5">
        <f t="shared" si="9"/>
        <v>0</v>
      </c>
      <c r="M14" s="5" t="str">
        <f t="shared" si="1"/>
        <v>Not Started</v>
      </c>
    </row>
    <row r="15" spans="1:17" ht="30" x14ac:dyDescent="0.25">
      <c r="A15" s="76" t="s">
        <v>164</v>
      </c>
      <c r="B15" s="59" t="s">
        <v>158</v>
      </c>
      <c r="C15" s="31" t="s">
        <v>120</v>
      </c>
      <c r="D15" s="15" t="s">
        <v>22</v>
      </c>
      <c r="E15" s="67"/>
      <c r="F15" s="48" t="str">
        <f t="shared" si="10"/>
        <v/>
      </c>
      <c r="G15" s="31">
        <f t="shared" si="7"/>
        <v>2</v>
      </c>
      <c r="H15" s="66"/>
      <c r="J15" s="5" t="s">
        <v>83</v>
      </c>
      <c r="K15" s="5" t="str">
        <f t="shared" si="8"/>
        <v/>
      </c>
      <c r="L15" s="5">
        <f t="shared" si="9"/>
        <v>0</v>
      </c>
      <c r="M15" s="5" t="str">
        <f t="shared" si="1"/>
        <v>Not Started</v>
      </c>
    </row>
    <row r="16" spans="1:17" ht="45" x14ac:dyDescent="0.25">
      <c r="A16" s="76" t="s">
        <v>165</v>
      </c>
      <c r="B16" s="14" t="s">
        <v>155</v>
      </c>
      <c r="C16" s="31" t="s">
        <v>120</v>
      </c>
      <c r="D16" s="15" t="s">
        <v>22</v>
      </c>
      <c r="E16" s="67"/>
      <c r="F16" s="48" t="str">
        <f t="shared" si="10"/>
        <v/>
      </c>
      <c r="G16" s="31">
        <f t="shared" si="7"/>
        <v>2</v>
      </c>
      <c r="H16" s="66"/>
      <c r="J16" s="5" t="s">
        <v>83</v>
      </c>
      <c r="K16" s="5" t="str">
        <f t="shared" si="8"/>
        <v/>
      </c>
      <c r="L16" s="5">
        <f t="shared" si="9"/>
        <v>0</v>
      </c>
      <c r="M16" s="5" t="str">
        <f t="shared" si="1"/>
        <v>Not Started</v>
      </c>
    </row>
    <row r="17" spans="1:13" ht="30" x14ac:dyDescent="0.25">
      <c r="A17" s="76" t="s">
        <v>166</v>
      </c>
      <c r="B17" s="14" t="s">
        <v>156</v>
      </c>
      <c r="C17" s="31" t="s">
        <v>120</v>
      </c>
      <c r="D17" s="15" t="s">
        <v>22</v>
      </c>
      <c r="E17" s="67"/>
      <c r="F17" s="48" t="str">
        <f t="shared" si="10"/>
        <v/>
      </c>
      <c r="G17" s="31">
        <f t="shared" si="7"/>
        <v>2</v>
      </c>
      <c r="H17" s="66"/>
      <c r="J17" s="5" t="s">
        <v>83</v>
      </c>
      <c r="K17" s="5" t="str">
        <f t="shared" si="8"/>
        <v/>
      </c>
      <c r="L17" s="5">
        <f t="shared" si="9"/>
        <v>0</v>
      </c>
      <c r="M17" s="5" t="str">
        <f t="shared" si="1"/>
        <v>Not Started</v>
      </c>
    </row>
    <row r="18" spans="1:13" ht="30" x14ac:dyDescent="0.25">
      <c r="A18" s="76" t="s">
        <v>167</v>
      </c>
      <c r="B18" s="14" t="s">
        <v>40</v>
      </c>
      <c r="C18" s="31" t="s">
        <v>120</v>
      </c>
      <c r="D18" s="15" t="s">
        <v>31</v>
      </c>
      <c r="E18" s="67"/>
      <c r="F18" s="48" t="str">
        <f>IF(E18="","",IF(E18="Yes",0,IF(E18="Needs Improvement", G18-1,G18)))</f>
        <v/>
      </c>
      <c r="G18" s="31">
        <f t="shared" si="7"/>
        <v>2</v>
      </c>
      <c r="H18" s="66"/>
      <c r="J18" s="5" t="s">
        <v>83</v>
      </c>
      <c r="K18" s="5" t="str">
        <f>IF(OR(E18="", E18="N/A", E18="No"),"","Gap")</f>
        <v/>
      </c>
      <c r="L18" s="5">
        <f t="shared" si="9"/>
        <v>0</v>
      </c>
      <c r="M18" s="5" t="str">
        <f t="shared" si="1"/>
        <v>Not Started</v>
      </c>
    </row>
    <row r="19" spans="1:13" ht="30" x14ac:dyDescent="0.25">
      <c r="A19" s="72">
        <v>8</v>
      </c>
      <c r="B19" s="14" t="s">
        <v>41</v>
      </c>
      <c r="C19" s="31" t="s">
        <v>120</v>
      </c>
      <c r="D19" s="15" t="s">
        <v>25</v>
      </c>
      <c r="E19" s="67"/>
      <c r="F19" s="48" t="str">
        <f t="shared" si="10"/>
        <v/>
      </c>
      <c r="G19" s="31">
        <f t="shared" ref="G19:G26" si="11">IF(E19="N/A",0,IF(C19="Legal Issue", law_pts, IF(C19="Administrative Rules", gpm_pts, trng_pts)))</f>
        <v>2</v>
      </c>
      <c r="H19" s="66"/>
      <c r="J19" s="5" t="s">
        <v>83</v>
      </c>
      <c r="K19" s="5" t="str">
        <f>IF(OR(E19="", E19="N/A", E19="Yes"),"","Gap")</f>
        <v/>
      </c>
      <c r="L19" s="5">
        <f t="shared" si="9"/>
        <v>0</v>
      </c>
      <c r="M19" s="5" t="str">
        <f t="shared" si="1"/>
        <v>Not Started</v>
      </c>
    </row>
    <row r="20" spans="1:13" ht="30" x14ac:dyDescent="0.25">
      <c r="A20" s="72">
        <v>9</v>
      </c>
      <c r="B20" s="14" t="s">
        <v>42</v>
      </c>
      <c r="C20" s="31" t="s">
        <v>120</v>
      </c>
      <c r="D20" s="15" t="s">
        <v>62</v>
      </c>
      <c r="E20" s="67"/>
      <c r="F20" s="48" t="str">
        <f t="shared" si="10"/>
        <v/>
      </c>
      <c r="G20" s="31">
        <f t="shared" si="11"/>
        <v>2</v>
      </c>
      <c r="H20" s="66"/>
      <c r="J20" s="5" t="s">
        <v>83</v>
      </c>
      <c r="K20" s="5" t="str">
        <f>IF(OR(E20="", E20="N/A", E20="Yes"),"","Gap")</f>
        <v/>
      </c>
      <c r="L20" s="5">
        <f t="shared" si="9"/>
        <v>0</v>
      </c>
      <c r="M20" s="5" t="str">
        <f t="shared" si="1"/>
        <v>Not Started</v>
      </c>
    </row>
    <row r="21" spans="1:13" ht="30" x14ac:dyDescent="0.25">
      <c r="A21" s="72" t="s">
        <v>169</v>
      </c>
      <c r="B21" s="14" t="s">
        <v>168</v>
      </c>
      <c r="C21" s="31" t="s">
        <v>120</v>
      </c>
      <c r="D21" s="15" t="s">
        <v>62</v>
      </c>
      <c r="E21" s="67"/>
      <c r="F21" s="48" t="str">
        <f t="shared" si="10"/>
        <v/>
      </c>
      <c r="G21" s="31">
        <f t="shared" si="11"/>
        <v>2</v>
      </c>
      <c r="H21" s="66"/>
      <c r="J21" s="5" t="s">
        <v>83</v>
      </c>
      <c r="K21" s="5" t="str">
        <f>IF(OR(E21="", E21="N/A", E21="Yes"),"","Gap")</f>
        <v/>
      </c>
      <c r="L21" s="5">
        <f t="shared" si="9"/>
        <v>0</v>
      </c>
      <c r="M21" s="5" t="str">
        <f t="shared" si="1"/>
        <v>Not Started</v>
      </c>
    </row>
    <row r="22" spans="1:13" ht="45.75" customHeight="1" x14ac:dyDescent="0.25">
      <c r="A22" s="72" t="s">
        <v>170</v>
      </c>
      <c r="B22" s="14" t="s">
        <v>217</v>
      </c>
      <c r="C22" s="31" t="s">
        <v>24</v>
      </c>
      <c r="D22" s="15" t="s">
        <v>207</v>
      </c>
      <c r="E22" s="67"/>
      <c r="F22" s="48" t="str">
        <f>IF(E22="","",IF(E22="No",0,IF(E22="Needs Improvement", G22-1,G22)))</f>
        <v/>
      </c>
      <c r="G22" s="31">
        <f t="shared" ref="G22" si="12">IF(E22="N/A",0,IF(C22="Legal Issue", law_pts, IF(C22="Administrative Rules", gpm_pts, trng_pts)))</f>
        <v>1</v>
      </c>
      <c r="H22" s="66"/>
      <c r="J22" s="5" t="s">
        <v>28</v>
      </c>
      <c r="K22" s="5" t="str">
        <f>IF(OR(E22="", E22="N/A", E22="Yes"),"","Gap")</f>
        <v/>
      </c>
      <c r="L22" s="5">
        <f>IF(E22="",0,G22-F22)</f>
        <v>0</v>
      </c>
      <c r="M22" s="5" t="str">
        <f t="shared" ref="M22" si="13">IF(ISBLANK(E22)=TRUE,"Not Started","Answered")</f>
        <v>Not Started</v>
      </c>
    </row>
    <row r="23" spans="1:13" ht="30" x14ac:dyDescent="0.25">
      <c r="A23" s="72">
        <v>10</v>
      </c>
      <c r="B23" s="14" t="s">
        <v>218</v>
      </c>
      <c r="C23" s="31" t="s">
        <v>120</v>
      </c>
      <c r="D23" s="15" t="s">
        <v>19</v>
      </c>
      <c r="E23" s="67"/>
      <c r="F23" s="48" t="str">
        <f t="shared" si="10"/>
        <v/>
      </c>
      <c r="G23" s="31">
        <f t="shared" si="11"/>
        <v>2</v>
      </c>
      <c r="H23" s="66"/>
      <c r="J23" s="5" t="s">
        <v>83</v>
      </c>
      <c r="K23" s="5" t="str">
        <f t="shared" ref="K23:K34" si="14">IF(OR(E23="", E23="N/A", E23="Yes"),"","Gap")</f>
        <v/>
      </c>
      <c r="L23" s="5">
        <f t="shared" si="9"/>
        <v>0</v>
      </c>
      <c r="M23" s="5" t="str">
        <f t="shared" si="1"/>
        <v>Not Started</v>
      </c>
    </row>
    <row r="24" spans="1:13" ht="30" x14ac:dyDescent="0.25">
      <c r="A24" s="72">
        <v>11</v>
      </c>
      <c r="B24" s="14" t="s">
        <v>219</v>
      </c>
      <c r="C24" s="31" t="s">
        <v>120</v>
      </c>
      <c r="D24" s="15" t="s">
        <v>18</v>
      </c>
      <c r="E24" s="67"/>
      <c r="F24" s="48" t="str">
        <f t="shared" si="10"/>
        <v/>
      </c>
      <c r="G24" s="31">
        <f t="shared" si="11"/>
        <v>2</v>
      </c>
      <c r="H24" s="66"/>
      <c r="J24" s="5" t="s">
        <v>83</v>
      </c>
      <c r="K24" s="5" t="str">
        <f t="shared" si="14"/>
        <v/>
      </c>
      <c r="L24" s="5">
        <f t="shared" si="9"/>
        <v>0</v>
      </c>
      <c r="M24" s="5" t="str">
        <f t="shared" si="1"/>
        <v>Not Started</v>
      </c>
    </row>
    <row r="25" spans="1:13" ht="30" x14ac:dyDescent="0.25">
      <c r="A25" s="72" t="s">
        <v>171</v>
      </c>
      <c r="B25" s="14" t="s">
        <v>172</v>
      </c>
      <c r="C25" s="31" t="s">
        <v>24</v>
      </c>
      <c r="D25" s="15" t="s">
        <v>207</v>
      </c>
      <c r="E25" s="67"/>
      <c r="F25" s="48"/>
      <c r="H25" s="66"/>
      <c r="J25" s="5" t="s">
        <v>28</v>
      </c>
      <c r="K25" s="5" t="str">
        <f t="shared" ref="K25" si="15">IF(OR(E25="", E25="N/A", E25="Yes"),"","Gap")</f>
        <v/>
      </c>
      <c r="L25" s="5">
        <f t="shared" ref="L25" si="16">IF(E25="",0,G25-F25)</f>
        <v>0</v>
      </c>
      <c r="M25" s="5" t="str">
        <f t="shared" ref="M25" si="17">IF(ISBLANK(E25)=TRUE,"Not Started","Answered")</f>
        <v>Not Started</v>
      </c>
    </row>
    <row r="26" spans="1:13" ht="30" x14ac:dyDescent="0.25">
      <c r="A26" s="72">
        <v>12</v>
      </c>
      <c r="B26" s="14" t="s">
        <v>43</v>
      </c>
      <c r="C26" s="31" t="s">
        <v>120</v>
      </c>
      <c r="D26" s="15" t="s">
        <v>68</v>
      </c>
      <c r="E26" s="67"/>
      <c r="F26" s="48" t="str">
        <f t="shared" si="10"/>
        <v/>
      </c>
      <c r="G26" s="31">
        <f t="shared" si="11"/>
        <v>2</v>
      </c>
      <c r="H26" s="66"/>
      <c r="J26" s="5" t="s">
        <v>83</v>
      </c>
      <c r="K26" s="5" t="str">
        <f t="shared" si="14"/>
        <v/>
      </c>
      <c r="L26" s="5">
        <f t="shared" si="9"/>
        <v>0</v>
      </c>
      <c r="M26" s="5" t="str">
        <f t="shared" si="1"/>
        <v>Not Started</v>
      </c>
    </row>
    <row r="27" spans="1:13" ht="33" customHeight="1" x14ac:dyDescent="0.25">
      <c r="A27" s="77" t="s">
        <v>118</v>
      </c>
      <c r="B27" s="14" t="s">
        <v>121</v>
      </c>
      <c r="C27" s="31" t="s">
        <v>17</v>
      </c>
      <c r="D27" s="15" t="s">
        <v>117</v>
      </c>
      <c r="E27" s="32" t="str">
        <f>IF(ISERROR('Solicitation Information'!I8+'Solicitation Information'!J8), "", IF('Solicitation Information'!I8+'Solicitation Information'!J8=1000,"Yes", "No"))</f>
        <v>No</v>
      </c>
      <c r="F27" s="31">
        <f>IF(OR(E27="No",E27="N/A",E27=0), 0, IF(E27="Yes", G27,1))</f>
        <v>0</v>
      </c>
      <c r="G27" s="31">
        <f t="shared" si="4"/>
        <v>1</v>
      </c>
      <c r="H27" s="66"/>
      <c r="J27" s="5" t="s">
        <v>83</v>
      </c>
      <c r="K27" s="5" t="str">
        <f t="shared" si="14"/>
        <v>Gap</v>
      </c>
      <c r="L27" s="5">
        <f t="shared" si="9"/>
        <v>1</v>
      </c>
      <c r="M27" s="5" t="str">
        <f t="shared" si="1"/>
        <v>Answered</v>
      </c>
    </row>
    <row r="28" spans="1:13" ht="45" x14ac:dyDescent="0.25">
      <c r="A28" s="72">
        <v>13</v>
      </c>
      <c r="B28" s="14" t="s">
        <v>44</v>
      </c>
      <c r="C28" s="31" t="s">
        <v>120</v>
      </c>
      <c r="D28" s="15" t="s">
        <v>69</v>
      </c>
      <c r="E28" s="67"/>
      <c r="F28" s="48" t="str">
        <f t="shared" si="10"/>
        <v/>
      </c>
      <c r="G28" s="31">
        <f t="shared" si="4"/>
        <v>2</v>
      </c>
      <c r="H28" s="66"/>
      <c r="J28" s="5" t="s">
        <v>83</v>
      </c>
      <c r="K28" s="5" t="str">
        <f t="shared" si="14"/>
        <v/>
      </c>
      <c r="L28" s="5">
        <f t="shared" si="9"/>
        <v>0</v>
      </c>
      <c r="M28" s="5" t="str">
        <f t="shared" si="1"/>
        <v>Not Started</v>
      </c>
    </row>
    <row r="29" spans="1:13" ht="30" x14ac:dyDescent="0.25">
      <c r="A29" s="72">
        <v>14</v>
      </c>
      <c r="B29" s="14" t="s">
        <v>173</v>
      </c>
      <c r="C29" s="31" t="s">
        <v>17</v>
      </c>
      <c r="D29" s="15" t="s">
        <v>117</v>
      </c>
      <c r="E29" s="67"/>
      <c r="F29" s="48" t="str">
        <f t="shared" si="10"/>
        <v/>
      </c>
      <c r="G29" s="31">
        <f t="shared" si="4"/>
        <v>1</v>
      </c>
      <c r="H29" s="66"/>
      <c r="J29" s="5" t="s">
        <v>83</v>
      </c>
      <c r="K29" s="5" t="str">
        <f t="shared" si="14"/>
        <v/>
      </c>
      <c r="L29" s="5">
        <f t="shared" si="9"/>
        <v>0</v>
      </c>
      <c r="M29" s="5" t="str">
        <f t="shared" si="1"/>
        <v>Not Started</v>
      </c>
    </row>
    <row r="30" spans="1:13" ht="30" x14ac:dyDescent="0.25">
      <c r="A30" s="72">
        <v>15</v>
      </c>
      <c r="B30" s="14" t="s">
        <v>45</v>
      </c>
      <c r="C30" s="31" t="s">
        <v>120</v>
      </c>
      <c r="D30" s="15" t="s">
        <v>81</v>
      </c>
      <c r="E30" s="67"/>
      <c r="F30" s="48" t="str">
        <f t="shared" si="10"/>
        <v/>
      </c>
      <c r="G30" s="31">
        <f t="shared" si="4"/>
        <v>2</v>
      </c>
      <c r="H30" s="66"/>
      <c r="J30" s="5" t="s">
        <v>83</v>
      </c>
      <c r="K30" s="5" t="str">
        <f t="shared" si="14"/>
        <v/>
      </c>
      <c r="L30" s="5">
        <f t="shared" si="9"/>
        <v>0</v>
      </c>
      <c r="M30" s="5" t="str">
        <f t="shared" si="1"/>
        <v>Not Started</v>
      </c>
    </row>
    <row r="31" spans="1:13" ht="60" x14ac:dyDescent="0.25">
      <c r="A31" s="72">
        <v>16</v>
      </c>
      <c r="B31" s="14" t="s">
        <v>46</v>
      </c>
      <c r="C31" s="31" t="s">
        <v>120</v>
      </c>
      <c r="D31" s="15" t="s">
        <v>70</v>
      </c>
      <c r="E31" s="67"/>
      <c r="F31" s="48" t="str">
        <f t="shared" si="10"/>
        <v/>
      </c>
      <c r="G31" s="31">
        <f t="shared" si="4"/>
        <v>2</v>
      </c>
      <c r="H31" s="66"/>
      <c r="J31" s="5" t="s">
        <v>83</v>
      </c>
      <c r="K31" s="5" t="str">
        <f t="shared" si="14"/>
        <v/>
      </c>
      <c r="L31" s="5">
        <f t="shared" si="9"/>
        <v>0</v>
      </c>
      <c r="M31" s="5" t="str">
        <f t="shared" si="1"/>
        <v>Not Started</v>
      </c>
    </row>
    <row r="32" spans="1:13" ht="30" x14ac:dyDescent="0.25">
      <c r="A32" s="72">
        <v>17</v>
      </c>
      <c r="B32" s="14" t="s">
        <v>47</v>
      </c>
      <c r="C32" s="31" t="s">
        <v>120</v>
      </c>
      <c r="D32" s="15" t="s">
        <v>82</v>
      </c>
      <c r="E32" s="67"/>
      <c r="F32" s="48" t="str">
        <f t="shared" si="10"/>
        <v/>
      </c>
      <c r="G32" s="31">
        <f t="shared" si="4"/>
        <v>2</v>
      </c>
      <c r="H32" s="66"/>
      <c r="J32" s="5" t="s">
        <v>83</v>
      </c>
      <c r="K32" s="5" t="str">
        <f t="shared" si="14"/>
        <v/>
      </c>
      <c r="L32" s="5">
        <f t="shared" si="9"/>
        <v>0</v>
      </c>
      <c r="M32" s="5" t="str">
        <f t="shared" si="1"/>
        <v>Not Started</v>
      </c>
    </row>
    <row r="33" spans="1:13" ht="30" x14ac:dyDescent="0.25">
      <c r="A33" s="72" t="s">
        <v>182</v>
      </c>
      <c r="B33" s="14" t="s">
        <v>174</v>
      </c>
      <c r="C33" s="31" t="s">
        <v>120</v>
      </c>
      <c r="D33" s="15" t="s">
        <v>82</v>
      </c>
      <c r="E33" s="67"/>
      <c r="F33" s="48" t="str">
        <f t="shared" ref="F33" si="18">IF(E33="","",IF(E33="No",0,IF(E33="Needs Improvement", G33-1,G33)))</f>
        <v/>
      </c>
      <c r="G33" s="31">
        <f t="shared" ref="G33" si="19">IF(E33="N/A",0,IF(C33="Legal Issue", law_pts, IF(C33="Administrative Rules", gpm_pts, trng_pts)))</f>
        <v>2</v>
      </c>
      <c r="H33" s="66"/>
      <c r="J33" s="5" t="s">
        <v>83</v>
      </c>
      <c r="K33" s="5" t="str">
        <f t="shared" ref="K33" si="20">IF(OR(E33="", E33="N/A", E33="Yes"),"","Gap")</f>
        <v/>
      </c>
      <c r="L33" s="5">
        <f t="shared" ref="L33" si="21">IF(E33="",0,G33-F33)</f>
        <v>0</v>
      </c>
      <c r="M33" s="5" t="str">
        <f t="shared" ref="M33" si="22">IF(ISBLANK(E33)=TRUE,"Not Started","Answered")</f>
        <v>Not Started</v>
      </c>
    </row>
    <row r="34" spans="1:13" ht="30" x14ac:dyDescent="0.25">
      <c r="A34" s="72">
        <v>18</v>
      </c>
      <c r="B34" s="14" t="s">
        <v>175</v>
      </c>
      <c r="C34" s="31" t="s">
        <v>120</v>
      </c>
      <c r="D34" s="15" t="s">
        <v>214</v>
      </c>
      <c r="E34" s="67"/>
      <c r="F34" s="48" t="str">
        <f t="shared" si="10"/>
        <v/>
      </c>
      <c r="G34" s="31">
        <f t="shared" si="4"/>
        <v>2</v>
      </c>
      <c r="H34" s="66" t="str">
        <f>IF(E34="No", "Five-digit NIGP codes ensure that the correct suppliers receive the notification to bid.","")</f>
        <v/>
      </c>
      <c r="J34" s="5" t="s">
        <v>83</v>
      </c>
      <c r="K34" s="5" t="str">
        <f t="shared" si="14"/>
        <v/>
      </c>
      <c r="L34" s="5">
        <f t="shared" si="9"/>
        <v>0</v>
      </c>
      <c r="M34" s="5" t="str">
        <f t="shared" si="1"/>
        <v>Not Started</v>
      </c>
    </row>
    <row r="35" spans="1:13" ht="18.75" x14ac:dyDescent="0.25">
      <c r="A35" s="141" t="s">
        <v>48</v>
      </c>
      <c r="B35" s="142"/>
      <c r="C35" s="142"/>
      <c r="D35" s="142"/>
      <c r="E35" s="142"/>
      <c r="F35" s="142"/>
      <c r="G35" s="142"/>
      <c r="H35" s="143"/>
      <c r="J35" s="135"/>
      <c r="K35" s="136"/>
      <c r="L35" s="136"/>
      <c r="M35" s="137"/>
    </row>
    <row r="36" spans="1:13" ht="30" x14ac:dyDescent="0.25">
      <c r="A36" s="72">
        <v>19</v>
      </c>
      <c r="B36" s="14" t="s">
        <v>63</v>
      </c>
      <c r="C36" s="31" t="s">
        <v>120</v>
      </c>
      <c r="D36" s="15" t="s">
        <v>30</v>
      </c>
      <c r="E36" s="68"/>
      <c r="F36" s="149" t="str">
        <f>IF(OR(E36="No", E36="N/A"),"Go to Question #20",IF(E36="Yes","Answer #19a-c",""))</f>
        <v/>
      </c>
      <c r="G36" s="150"/>
      <c r="H36" s="36"/>
      <c r="J36" s="5" t="s">
        <v>28</v>
      </c>
      <c r="K36" s="151"/>
      <c r="L36" s="152"/>
    </row>
    <row r="37" spans="1:13" ht="48" customHeight="1" x14ac:dyDescent="0.25">
      <c r="A37" s="76" t="s">
        <v>183</v>
      </c>
      <c r="B37" s="14" t="s">
        <v>35</v>
      </c>
      <c r="C37" s="31" t="s">
        <v>120</v>
      </c>
      <c r="D37" s="15" t="s">
        <v>30</v>
      </c>
      <c r="E37" s="67"/>
      <c r="F37" s="31" t="str">
        <f>IF(E37="","",IF(OR(E37="No",E37="N/A",E37=0), 0, IF(E37="Yes", G37,1)))</f>
        <v/>
      </c>
      <c r="G37" s="31">
        <f>IF(OR($E$36="No",E37="N/A"),0,IF(C37="Legal Issue", law_pts, IF(C37="Administrative Rules", gpm_pts, trng_pts)))</f>
        <v>2</v>
      </c>
      <c r="H37" s="36"/>
      <c r="J37" s="5" t="s">
        <v>83</v>
      </c>
      <c r="K37" s="5" t="str">
        <f t="shared" ref="K37:K48" si="23">IF(OR(E37="", E37="N/A", E37="Yes"),"","Gap")</f>
        <v/>
      </c>
      <c r="L37" s="5">
        <f t="shared" ref="L37:L48" si="24">IF(E37="",0,G37-F37)</f>
        <v>0</v>
      </c>
      <c r="M37" s="5" t="str">
        <f>IF(AND($E$36="Yes",ISBLANK(E37)=TRUE),"Not Started",IF($E$36="No","Not Applicable","Answered"))</f>
        <v>Answered</v>
      </c>
    </row>
    <row r="38" spans="1:13" ht="45" x14ac:dyDescent="0.25">
      <c r="A38" s="78" t="s">
        <v>184</v>
      </c>
      <c r="B38" s="14" t="s">
        <v>65</v>
      </c>
      <c r="C38" s="31" t="s">
        <v>120</v>
      </c>
      <c r="D38" s="15" t="s">
        <v>20</v>
      </c>
      <c r="E38" s="67"/>
      <c r="F38" s="31" t="str">
        <f>IF(E38="","",IF(OR(E38="No",E38="N/A",E38=0), 0, IF(E38="Yes", G38,1)))</f>
        <v/>
      </c>
      <c r="G38" s="31">
        <f>IF(OR($E$36="No",E38="N/A"),0,IF(C38="Legal Issue", law_pts, IF(C38="Administrative Rules", gpm_pts, trng_pts)))</f>
        <v>2</v>
      </c>
      <c r="H38" s="36"/>
      <c r="J38" s="5" t="s">
        <v>83</v>
      </c>
      <c r="K38" s="5" t="str">
        <f t="shared" si="23"/>
        <v/>
      </c>
      <c r="L38" s="5">
        <f t="shared" si="24"/>
        <v>0</v>
      </c>
      <c r="M38" s="5" t="str">
        <f>IF(AND($E$36="Yes",ISBLANK(E38)=TRUE),"Not Started",IF($E$36="No","Not Applicable","Answered"))</f>
        <v>Answered</v>
      </c>
    </row>
    <row r="39" spans="1:13" ht="30" x14ac:dyDescent="0.25">
      <c r="A39" s="79" t="s">
        <v>185</v>
      </c>
      <c r="B39" s="14" t="s">
        <v>49</v>
      </c>
      <c r="C39" s="31" t="s">
        <v>120</v>
      </c>
      <c r="D39" s="15" t="s">
        <v>64</v>
      </c>
      <c r="E39" s="67"/>
      <c r="F39" s="31" t="str">
        <f>IF(E39="","",IF(OR(E39="No",E39="N/A",E39=0), 0, IF(E39="Yes", G39,1)))</f>
        <v/>
      </c>
      <c r="G39" s="31">
        <f>IF(OR($E$36="No",E39="N/A"),0,IF(C39="Legal Issue", law_pts, IF(C39="Administrative Rules", gpm_pts, trng_pts)))</f>
        <v>2</v>
      </c>
      <c r="H39" s="36"/>
      <c r="J39" s="5" t="s">
        <v>83</v>
      </c>
      <c r="K39" s="5" t="str">
        <f t="shared" si="23"/>
        <v/>
      </c>
      <c r="L39" s="5">
        <f t="shared" si="24"/>
        <v>0</v>
      </c>
      <c r="M39" s="5" t="str">
        <f>IF(AND($E$36="Yes",ISBLANK(E39)=TRUE),"Not Started",IF($E$36="No","Not Applicable","Answered"))</f>
        <v>Answered</v>
      </c>
    </row>
    <row r="40" spans="1:13" ht="45" x14ac:dyDescent="0.25">
      <c r="A40" s="80">
        <v>20</v>
      </c>
      <c r="B40" s="14" t="s">
        <v>176</v>
      </c>
      <c r="C40" s="31" t="s">
        <v>120</v>
      </c>
      <c r="D40" s="15" t="s">
        <v>67</v>
      </c>
      <c r="E40" s="67"/>
      <c r="F40" s="48" t="str">
        <f t="shared" ref="F40:F48" si="25">IF(E40="","",IF(E40="No",0,IF(E40="Needs Improvement", G40-1,G40)))</f>
        <v/>
      </c>
      <c r="G40" s="31">
        <f t="shared" ref="G40:G48" si="26">IF(E40="N/A",0,IF(C40="Legal Issue", law_pts, IF(C40="Administrative Rules", gpm_pts, trng_pts)))</f>
        <v>2</v>
      </c>
      <c r="H40" s="38"/>
      <c r="J40" s="5" t="s">
        <v>83</v>
      </c>
      <c r="K40" s="5" t="str">
        <f t="shared" si="23"/>
        <v/>
      </c>
      <c r="L40" s="5">
        <f t="shared" si="24"/>
        <v>0</v>
      </c>
      <c r="M40" s="5" t="str">
        <f t="shared" ref="M40:M73" si="27">IF(ISBLANK(E40)=TRUE,"Not Started","Answered")</f>
        <v>Not Started</v>
      </c>
    </row>
    <row r="41" spans="1:13" ht="75" customHeight="1" x14ac:dyDescent="0.25">
      <c r="A41" s="80">
        <v>21</v>
      </c>
      <c r="B41" s="14" t="s">
        <v>216</v>
      </c>
      <c r="C41" s="31" t="s">
        <v>120</v>
      </c>
      <c r="D41" s="15" t="s">
        <v>71</v>
      </c>
      <c r="E41" s="68"/>
      <c r="F41" s="48" t="str">
        <f t="shared" si="25"/>
        <v/>
      </c>
      <c r="G41" s="31">
        <f t="shared" si="26"/>
        <v>2</v>
      </c>
      <c r="H41" s="37"/>
      <c r="J41" s="5" t="s">
        <v>83</v>
      </c>
      <c r="K41" s="5" t="str">
        <f t="shared" si="23"/>
        <v/>
      </c>
      <c r="L41" s="5">
        <f t="shared" si="24"/>
        <v>0</v>
      </c>
      <c r="M41" s="5" t="str">
        <f t="shared" si="27"/>
        <v>Not Started</v>
      </c>
    </row>
    <row r="42" spans="1:13" ht="30" x14ac:dyDescent="0.25">
      <c r="A42" s="80">
        <v>22</v>
      </c>
      <c r="B42" s="14" t="s">
        <v>177</v>
      </c>
      <c r="C42" s="31" t="s">
        <v>24</v>
      </c>
      <c r="D42" s="15" t="s">
        <v>117</v>
      </c>
      <c r="E42" s="68"/>
      <c r="F42" s="149" t="str">
        <f>IF(OR(E42="No", E42="N/A"),"Go to Question #23",IF(E42="Yes","Answer #22a-c",""))</f>
        <v/>
      </c>
      <c r="G42" s="150"/>
      <c r="H42" s="37"/>
      <c r="J42" s="5" t="s">
        <v>28</v>
      </c>
      <c r="K42" s="151"/>
      <c r="L42" s="152"/>
    </row>
    <row r="43" spans="1:13" ht="30" x14ac:dyDescent="0.25">
      <c r="A43" s="71" t="s">
        <v>186</v>
      </c>
      <c r="B43" s="14" t="s">
        <v>206</v>
      </c>
      <c r="C43" s="31" t="s">
        <v>120</v>
      </c>
      <c r="D43" s="15" t="s">
        <v>72</v>
      </c>
      <c r="E43" s="67"/>
      <c r="F43" s="48" t="str">
        <f t="shared" si="25"/>
        <v/>
      </c>
      <c r="G43" s="31">
        <f t="shared" si="26"/>
        <v>2</v>
      </c>
      <c r="H43" s="36"/>
      <c r="J43" s="5" t="s">
        <v>83</v>
      </c>
      <c r="K43" s="5" t="str">
        <f t="shared" si="23"/>
        <v/>
      </c>
      <c r="L43" s="5">
        <f t="shared" si="24"/>
        <v>0</v>
      </c>
      <c r="M43" s="5" t="str">
        <f>IF(AND($E$42="Yes",ISBLANK(E43)=TRUE),"Not Started",IF($E$42="No","Not Applicable","Answered"))</f>
        <v>Answered</v>
      </c>
    </row>
    <row r="44" spans="1:13" ht="45" x14ac:dyDescent="0.25">
      <c r="A44" s="79" t="s">
        <v>187</v>
      </c>
      <c r="B44" s="14" t="s">
        <v>205</v>
      </c>
      <c r="C44" s="31" t="s">
        <v>120</v>
      </c>
      <c r="D44" s="15" t="s">
        <v>72</v>
      </c>
      <c r="E44" s="67"/>
      <c r="F44" s="48" t="str">
        <f t="shared" si="25"/>
        <v/>
      </c>
      <c r="G44" s="31">
        <f t="shared" si="26"/>
        <v>2</v>
      </c>
      <c r="H44" s="36"/>
      <c r="J44" s="5" t="s">
        <v>83</v>
      </c>
      <c r="K44" s="5" t="str">
        <f t="shared" si="23"/>
        <v/>
      </c>
      <c r="L44" s="5">
        <f t="shared" si="24"/>
        <v>0</v>
      </c>
      <c r="M44" s="5" t="str">
        <f>IF(AND($E$42="Yes",ISBLANK(E44)=TRUE),"Not Started",IF($E$42="No","Not Applicable","Answered"))</f>
        <v>Answered</v>
      </c>
    </row>
    <row r="45" spans="1:13" ht="30" x14ac:dyDescent="0.25">
      <c r="A45" s="79" t="s">
        <v>188</v>
      </c>
      <c r="B45" s="14" t="s">
        <v>178</v>
      </c>
      <c r="C45" s="31" t="s">
        <v>120</v>
      </c>
      <c r="D45" s="15" t="s">
        <v>72</v>
      </c>
      <c r="E45" s="67"/>
      <c r="F45" s="48" t="str">
        <f t="shared" ref="F45" si="28">IF(E45="","",IF(E45="No",0,IF(E45="Needs Improvement", G45-1,G45)))</f>
        <v/>
      </c>
      <c r="G45" s="31">
        <f t="shared" ref="G45" si="29">IF(E45="N/A",0,IF(C45="Legal Issue", law_pts, IF(C45="Administrative Rules", gpm_pts, trng_pts)))</f>
        <v>2</v>
      </c>
      <c r="H45" s="36"/>
      <c r="J45" s="5" t="s">
        <v>83</v>
      </c>
      <c r="K45" s="5" t="str">
        <f t="shared" ref="K45" si="30">IF(OR(E45="", E45="N/A", E45="Yes"),"","Gap")</f>
        <v/>
      </c>
      <c r="L45" s="5">
        <f t="shared" ref="L45" si="31">IF(E45="",0,G45-F45)</f>
        <v>0</v>
      </c>
      <c r="M45" s="5" t="str">
        <f>IF(AND($E$42="Yes",ISBLANK(E45)=TRUE),"Not Started",IF($E$42="No","Not Applicable","Answered"))</f>
        <v>Answered</v>
      </c>
    </row>
    <row r="46" spans="1:13" ht="60" x14ac:dyDescent="0.25">
      <c r="A46" s="72">
        <v>23</v>
      </c>
      <c r="B46" s="14" t="s">
        <v>84</v>
      </c>
      <c r="C46" s="31" t="s">
        <v>17</v>
      </c>
      <c r="D46" s="15" t="s">
        <v>117</v>
      </c>
      <c r="E46" s="68"/>
      <c r="F46" s="48" t="str">
        <f t="shared" si="25"/>
        <v/>
      </c>
      <c r="G46" s="31">
        <f t="shared" si="26"/>
        <v>1</v>
      </c>
      <c r="H46" s="36"/>
      <c r="J46" s="5" t="s">
        <v>83</v>
      </c>
      <c r="K46" s="5" t="str">
        <f t="shared" si="23"/>
        <v/>
      </c>
      <c r="L46" s="5">
        <f t="shared" si="24"/>
        <v>0</v>
      </c>
      <c r="M46" s="5" t="str">
        <f t="shared" si="27"/>
        <v>Not Started</v>
      </c>
    </row>
    <row r="47" spans="1:13" ht="45" customHeight="1" x14ac:dyDescent="0.25">
      <c r="A47" s="81" t="s">
        <v>189</v>
      </c>
      <c r="B47" s="14" t="s">
        <v>181</v>
      </c>
      <c r="C47" s="31" t="s">
        <v>111</v>
      </c>
      <c r="D47" s="15" t="s">
        <v>26</v>
      </c>
      <c r="E47" s="68"/>
      <c r="F47" s="48" t="str">
        <f t="shared" si="25"/>
        <v/>
      </c>
      <c r="G47" s="31">
        <f t="shared" si="26"/>
        <v>4</v>
      </c>
      <c r="H47" s="36"/>
      <c r="J47" s="5" t="s">
        <v>83</v>
      </c>
      <c r="K47" s="5" t="str">
        <f t="shared" si="23"/>
        <v/>
      </c>
      <c r="L47" s="5">
        <f t="shared" si="24"/>
        <v>0</v>
      </c>
      <c r="M47" s="5" t="str">
        <f t="shared" si="27"/>
        <v>Not Started</v>
      </c>
    </row>
    <row r="48" spans="1:13" ht="30" x14ac:dyDescent="0.25">
      <c r="A48" s="72">
        <v>25</v>
      </c>
      <c r="B48" s="14" t="s">
        <v>50</v>
      </c>
      <c r="C48" s="31" t="s">
        <v>24</v>
      </c>
      <c r="D48" s="15" t="s">
        <v>75</v>
      </c>
      <c r="E48" s="68"/>
      <c r="F48" s="48" t="str">
        <f t="shared" si="25"/>
        <v/>
      </c>
      <c r="G48" s="31">
        <f t="shared" si="26"/>
        <v>1</v>
      </c>
      <c r="H48" s="36"/>
      <c r="J48" s="5" t="s">
        <v>28</v>
      </c>
      <c r="K48" s="5" t="str">
        <f t="shared" si="23"/>
        <v/>
      </c>
      <c r="L48" s="5">
        <f t="shared" si="24"/>
        <v>0</v>
      </c>
      <c r="M48" s="5" t="str">
        <f t="shared" si="27"/>
        <v>Not Started</v>
      </c>
    </row>
    <row r="49" spans="1:13" ht="18.75" x14ac:dyDescent="0.25">
      <c r="A49" s="141" t="s">
        <v>51</v>
      </c>
      <c r="B49" s="142"/>
      <c r="C49" s="142"/>
      <c r="D49" s="142"/>
      <c r="E49" s="142"/>
      <c r="F49" s="142"/>
      <c r="G49" s="142"/>
      <c r="H49" s="143"/>
      <c r="J49" s="135"/>
      <c r="K49" s="136"/>
      <c r="L49" s="136"/>
      <c r="M49" s="137"/>
    </row>
    <row r="50" spans="1:13" ht="45" x14ac:dyDescent="0.25">
      <c r="A50" s="72">
        <v>26</v>
      </c>
      <c r="B50" s="14" t="s">
        <v>73</v>
      </c>
      <c r="C50" s="31" t="s">
        <v>120</v>
      </c>
      <c r="D50" s="15" t="s">
        <v>74</v>
      </c>
      <c r="E50" s="67"/>
      <c r="F50" s="48" t="str">
        <f t="shared" ref="F50:F59" si="32">IF(E50="","",IF(E50="No",0,IF(E50="Needs Improvement", G50-1,G50)))</f>
        <v/>
      </c>
      <c r="G50" s="31">
        <f t="shared" ref="G50:G59" si="33">IF(E50="N/A",0,IF(C50="Legal Issue", law_pts, IF(C50="Administrative Rules", gpm_pts, trng_pts)))</f>
        <v>2</v>
      </c>
      <c r="H50" s="66"/>
      <c r="J50" s="5" t="s">
        <v>83</v>
      </c>
      <c r="K50" s="5" t="str">
        <f t="shared" ref="K50:K64" si="34">IF(OR(E50="", E50="N/A", E50="Yes"),"","Gap")</f>
        <v/>
      </c>
      <c r="L50" s="5">
        <f t="shared" ref="L50:L64" si="35">IF(E50="",0,G50-F50)</f>
        <v>0</v>
      </c>
      <c r="M50" s="5" t="str">
        <f t="shared" si="27"/>
        <v>Not Started</v>
      </c>
    </row>
    <row r="51" spans="1:13" ht="45" x14ac:dyDescent="0.25">
      <c r="A51" s="71">
        <v>27</v>
      </c>
      <c r="B51" s="14" t="s">
        <v>179</v>
      </c>
      <c r="C51" s="31" t="s">
        <v>180</v>
      </c>
      <c r="D51" s="15" t="s">
        <v>76</v>
      </c>
      <c r="E51" s="67"/>
      <c r="F51" s="149"/>
      <c r="G51" s="153"/>
      <c r="H51" s="150"/>
      <c r="J51" s="5" t="s">
        <v>28</v>
      </c>
      <c r="K51" s="151"/>
      <c r="L51" s="152"/>
      <c r="M51" s="5" t="str">
        <f t="shared" si="27"/>
        <v>Not Started</v>
      </c>
    </row>
    <row r="52" spans="1:13" ht="60" x14ac:dyDescent="0.25">
      <c r="A52" s="71">
        <v>28</v>
      </c>
      <c r="B52" s="14" t="s">
        <v>77</v>
      </c>
      <c r="C52" s="31" t="s">
        <v>120</v>
      </c>
      <c r="D52" s="15" t="s">
        <v>85</v>
      </c>
      <c r="E52" s="67"/>
      <c r="F52" s="48" t="str">
        <f t="shared" si="32"/>
        <v/>
      </c>
      <c r="G52" s="31">
        <f t="shared" si="33"/>
        <v>2</v>
      </c>
      <c r="H52" s="66"/>
      <c r="J52" s="5" t="s">
        <v>83</v>
      </c>
      <c r="K52" s="5" t="str">
        <f t="shared" si="34"/>
        <v/>
      </c>
      <c r="L52" s="5">
        <f t="shared" si="35"/>
        <v>0</v>
      </c>
      <c r="M52" s="5" t="str">
        <f t="shared" si="27"/>
        <v>Not Started</v>
      </c>
    </row>
    <row r="53" spans="1:13" ht="60" x14ac:dyDescent="0.25">
      <c r="A53" s="72">
        <v>29</v>
      </c>
      <c r="B53" s="14" t="s">
        <v>78</v>
      </c>
      <c r="C53" s="31" t="s">
        <v>120</v>
      </c>
      <c r="D53" s="15" t="s">
        <v>85</v>
      </c>
      <c r="E53" s="67"/>
      <c r="F53" s="48" t="str">
        <f t="shared" si="32"/>
        <v/>
      </c>
      <c r="G53" s="31">
        <f t="shared" si="33"/>
        <v>2</v>
      </c>
      <c r="H53" s="66"/>
      <c r="J53" s="5" t="s">
        <v>83</v>
      </c>
      <c r="K53" s="5" t="str">
        <f t="shared" si="34"/>
        <v/>
      </c>
      <c r="L53" s="5">
        <f t="shared" si="35"/>
        <v>0</v>
      </c>
      <c r="M53" s="5" t="str">
        <f t="shared" si="27"/>
        <v>Not Started</v>
      </c>
    </row>
    <row r="54" spans="1:13" ht="47.25" customHeight="1" x14ac:dyDescent="0.25">
      <c r="A54" s="72">
        <v>30</v>
      </c>
      <c r="B54" s="14" t="s">
        <v>86</v>
      </c>
      <c r="C54" s="31" t="s">
        <v>120</v>
      </c>
      <c r="D54" s="15" t="s">
        <v>85</v>
      </c>
      <c r="E54" s="67"/>
      <c r="F54" s="48" t="str">
        <f t="shared" si="32"/>
        <v/>
      </c>
      <c r="G54" s="31">
        <f t="shared" si="33"/>
        <v>2</v>
      </c>
      <c r="H54" s="66"/>
      <c r="J54" s="5" t="s">
        <v>83</v>
      </c>
      <c r="K54" s="5" t="str">
        <f t="shared" si="34"/>
        <v/>
      </c>
      <c r="L54" s="5">
        <f t="shared" si="35"/>
        <v>0</v>
      </c>
      <c r="M54" s="5" t="str">
        <f t="shared" si="27"/>
        <v>Not Started</v>
      </c>
    </row>
    <row r="55" spans="1:13" ht="30" x14ac:dyDescent="0.25">
      <c r="A55" s="72">
        <v>31</v>
      </c>
      <c r="B55" s="14" t="s">
        <v>79</v>
      </c>
      <c r="C55" s="31" t="s">
        <v>120</v>
      </c>
      <c r="D55" s="15" t="s">
        <v>85</v>
      </c>
      <c r="E55" s="67"/>
      <c r="F55" s="48" t="str">
        <f t="shared" si="32"/>
        <v/>
      </c>
      <c r="G55" s="31">
        <f t="shared" si="33"/>
        <v>2</v>
      </c>
      <c r="H55" s="66"/>
      <c r="J55" s="5" t="s">
        <v>83</v>
      </c>
      <c r="K55" s="5" t="str">
        <f t="shared" si="34"/>
        <v/>
      </c>
      <c r="L55" s="5">
        <f t="shared" si="35"/>
        <v>0</v>
      </c>
      <c r="M55" s="5" t="str">
        <f t="shared" si="27"/>
        <v>Not Started</v>
      </c>
    </row>
    <row r="56" spans="1:13" ht="30" x14ac:dyDescent="0.25">
      <c r="A56" s="72">
        <v>32</v>
      </c>
      <c r="B56" s="14" t="s">
        <v>52</v>
      </c>
      <c r="C56" s="31" t="s">
        <v>120</v>
      </c>
      <c r="D56" s="15" t="s">
        <v>85</v>
      </c>
      <c r="E56" s="67"/>
      <c r="F56" s="48" t="str">
        <f t="shared" si="32"/>
        <v/>
      </c>
      <c r="G56" s="31">
        <f t="shared" si="33"/>
        <v>2</v>
      </c>
      <c r="H56" s="66"/>
      <c r="J56" s="5" t="s">
        <v>83</v>
      </c>
      <c r="K56" s="5" t="str">
        <f t="shared" si="34"/>
        <v/>
      </c>
      <c r="L56" s="5">
        <f t="shared" si="35"/>
        <v>0</v>
      </c>
      <c r="M56" s="5" t="str">
        <f t="shared" si="27"/>
        <v>Not Started</v>
      </c>
    </row>
    <row r="57" spans="1:13" ht="30" x14ac:dyDescent="0.25">
      <c r="A57" s="72">
        <v>33</v>
      </c>
      <c r="B57" s="14" t="s">
        <v>53</v>
      </c>
      <c r="C57" s="31" t="s">
        <v>120</v>
      </c>
      <c r="D57" s="15" t="s">
        <v>87</v>
      </c>
      <c r="E57" s="67"/>
      <c r="F57" s="48" t="str">
        <f t="shared" si="32"/>
        <v/>
      </c>
      <c r="G57" s="31">
        <f t="shared" si="33"/>
        <v>2</v>
      </c>
      <c r="H57" s="66"/>
      <c r="J57" s="5" t="s">
        <v>83</v>
      </c>
      <c r="K57" s="5" t="str">
        <f t="shared" si="34"/>
        <v/>
      </c>
      <c r="L57" s="5">
        <f t="shared" si="35"/>
        <v>0</v>
      </c>
      <c r="M57" s="5" t="str">
        <f t="shared" si="27"/>
        <v>Not Started</v>
      </c>
    </row>
    <row r="58" spans="1:13" ht="30" x14ac:dyDescent="0.25">
      <c r="A58" s="72">
        <v>34</v>
      </c>
      <c r="B58" s="14" t="s">
        <v>54</v>
      </c>
      <c r="C58" s="31" t="s">
        <v>17</v>
      </c>
      <c r="D58" s="31" t="s">
        <v>117</v>
      </c>
      <c r="E58" s="67"/>
      <c r="F58" s="48" t="str">
        <f t="shared" si="32"/>
        <v/>
      </c>
      <c r="G58" s="31">
        <f t="shared" si="33"/>
        <v>1</v>
      </c>
      <c r="H58" s="66"/>
      <c r="J58" s="5" t="s">
        <v>83</v>
      </c>
      <c r="K58" s="5" t="str">
        <f t="shared" si="34"/>
        <v/>
      </c>
      <c r="L58" s="5">
        <f t="shared" si="35"/>
        <v>0</v>
      </c>
      <c r="M58" s="5" t="str">
        <f t="shared" si="27"/>
        <v>Not Started</v>
      </c>
    </row>
    <row r="59" spans="1:13" ht="45" x14ac:dyDescent="0.25">
      <c r="A59" s="72">
        <v>35</v>
      </c>
      <c r="B59" s="14" t="s">
        <v>198</v>
      </c>
      <c r="C59" s="31" t="s">
        <v>120</v>
      </c>
      <c r="D59" s="15" t="s">
        <v>23</v>
      </c>
      <c r="E59" s="67"/>
      <c r="F59" s="48" t="str">
        <f t="shared" si="32"/>
        <v/>
      </c>
      <c r="G59" s="31">
        <f t="shared" si="33"/>
        <v>2</v>
      </c>
      <c r="H59" s="66"/>
      <c r="J59" s="5" t="s">
        <v>83</v>
      </c>
      <c r="K59" s="5" t="str">
        <f t="shared" si="34"/>
        <v/>
      </c>
      <c r="L59" s="5">
        <f t="shared" si="35"/>
        <v>0</v>
      </c>
      <c r="M59" s="5" t="str">
        <f t="shared" si="27"/>
        <v>Not Started</v>
      </c>
    </row>
    <row r="60" spans="1:13" ht="30" x14ac:dyDescent="0.25">
      <c r="A60" s="75" t="s">
        <v>190</v>
      </c>
      <c r="B60" s="14" t="s">
        <v>197</v>
      </c>
      <c r="C60" s="31" t="s">
        <v>120</v>
      </c>
      <c r="D60" s="15" t="s">
        <v>23</v>
      </c>
      <c r="E60" s="67"/>
      <c r="F60" s="48" t="str">
        <f t="shared" ref="F60" si="36">IF(E60="","",IF(E60="No",0,IF(E60="Needs Improvement", G60-1,G60)))</f>
        <v/>
      </c>
      <c r="G60" s="31">
        <f t="shared" ref="G60:G64" si="37">IF(E60="N/A",0,IF(C60="Legal Issue", law_pts, IF(C60="Administrative Rules", gpm_pts, trng_pts)))</f>
        <v>2</v>
      </c>
      <c r="H60" s="38"/>
      <c r="J60" s="5" t="s">
        <v>83</v>
      </c>
      <c r="K60" s="5" t="str">
        <f t="shared" si="34"/>
        <v/>
      </c>
      <c r="L60" s="5">
        <f t="shared" si="35"/>
        <v>0</v>
      </c>
      <c r="M60" s="5" t="str">
        <f t="shared" si="27"/>
        <v>Not Started</v>
      </c>
    </row>
    <row r="61" spans="1:13" ht="30" x14ac:dyDescent="0.25">
      <c r="A61" s="80">
        <v>37</v>
      </c>
      <c r="B61" s="14" t="s">
        <v>199</v>
      </c>
      <c r="C61" s="31" t="s">
        <v>120</v>
      </c>
      <c r="D61" s="15" t="s">
        <v>21</v>
      </c>
      <c r="E61" s="67"/>
      <c r="F61" s="48" t="str">
        <f t="shared" ref="F61:F63" si="38">IF(E61="","",IF(E61="No",0,IF(E61="Needs Improvement", G61-1,G61)))</f>
        <v/>
      </c>
      <c r="G61" s="31">
        <f t="shared" si="37"/>
        <v>2</v>
      </c>
      <c r="H61" s="38"/>
      <c r="J61" s="5" t="s">
        <v>83</v>
      </c>
      <c r="K61" s="5" t="str">
        <f t="shared" si="34"/>
        <v/>
      </c>
      <c r="L61" s="5">
        <f t="shared" si="35"/>
        <v>0</v>
      </c>
      <c r="M61" s="5" t="str">
        <f t="shared" si="27"/>
        <v>Not Started</v>
      </c>
    </row>
    <row r="62" spans="1:13" ht="30" x14ac:dyDescent="0.25">
      <c r="A62" s="82" t="s">
        <v>191</v>
      </c>
      <c r="B62" s="14" t="s">
        <v>56</v>
      </c>
      <c r="C62" s="31" t="s">
        <v>120</v>
      </c>
      <c r="D62" s="15" t="s">
        <v>23</v>
      </c>
      <c r="E62" s="67"/>
      <c r="F62" s="48" t="str">
        <f t="shared" si="38"/>
        <v/>
      </c>
      <c r="G62" s="31">
        <f t="shared" si="37"/>
        <v>2</v>
      </c>
      <c r="H62" s="38"/>
      <c r="J62" s="5" t="s">
        <v>83</v>
      </c>
      <c r="K62" s="5" t="str">
        <f t="shared" si="34"/>
        <v/>
      </c>
      <c r="L62" s="5">
        <f t="shared" si="35"/>
        <v>0</v>
      </c>
      <c r="M62" s="5" t="str">
        <f t="shared" si="27"/>
        <v>Not Started</v>
      </c>
    </row>
    <row r="63" spans="1:13" ht="30" x14ac:dyDescent="0.25">
      <c r="A63" s="80">
        <v>38</v>
      </c>
      <c r="B63" s="14" t="s">
        <v>55</v>
      </c>
      <c r="C63" s="31" t="s">
        <v>120</v>
      </c>
      <c r="D63" s="15" t="s">
        <v>80</v>
      </c>
      <c r="E63" s="67"/>
      <c r="F63" s="48" t="str">
        <f t="shared" si="38"/>
        <v/>
      </c>
      <c r="G63" s="31">
        <f t="shared" si="37"/>
        <v>2</v>
      </c>
      <c r="H63" s="38"/>
      <c r="J63" s="5" t="s">
        <v>83</v>
      </c>
      <c r="K63" s="5" t="str">
        <f t="shared" si="34"/>
        <v/>
      </c>
      <c r="L63" s="5">
        <f t="shared" si="35"/>
        <v>0</v>
      </c>
      <c r="M63" s="5" t="str">
        <f t="shared" si="27"/>
        <v>Not Started</v>
      </c>
    </row>
    <row r="64" spans="1:13" ht="30" x14ac:dyDescent="0.25">
      <c r="A64" s="72">
        <v>39</v>
      </c>
      <c r="B64" s="14" t="s">
        <v>66</v>
      </c>
      <c r="C64" s="31" t="s">
        <v>120</v>
      </c>
      <c r="D64" s="15" t="s">
        <v>23</v>
      </c>
      <c r="E64" s="67"/>
      <c r="F64" s="48" t="str">
        <f t="shared" ref="F64" si="39">IF(E64="","",IF(E64="No",0,IF(E64="Needs Improvement", G64-1,G64)))</f>
        <v/>
      </c>
      <c r="G64" s="31">
        <f t="shared" si="37"/>
        <v>2</v>
      </c>
      <c r="H64" s="38"/>
      <c r="J64" s="5" t="s">
        <v>83</v>
      </c>
      <c r="K64" s="5" t="str">
        <f t="shared" si="34"/>
        <v/>
      </c>
      <c r="L64" s="5">
        <f t="shared" si="35"/>
        <v>0</v>
      </c>
      <c r="M64" s="5" t="str">
        <f t="shared" si="27"/>
        <v>Not Started</v>
      </c>
    </row>
    <row r="65" spans="1:13" ht="18.75" x14ac:dyDescent="0.25">
      <c r="A65" s="141" t="s">
        <v>101</v>
      </c>
      <c r="B65" s="142"/>
      <c r="C65" s="142"/>
      <c r="D65" s="142"/>
      <c r="E65" s="142"/>
      <c r="F65" s="142"/>
      <c r="G65" s="142"/>
      <c r="H65" s="143"/>
      <c r="J65" s="135"/>
      <c r="K65" s="136"/>
      <c r="L65" s="136"/>
      <c r="M65" s="137"/>
    </row>
    <row r="66" spans="1:13" ht="45" x14ac:dyDescent="0.25">
      <c r="A66" s="83">
        <v>40</v>
      </c>
      <c r="B66" s="14" t="s">
        <v>57</v>
      </c>
      <c r="C66" s="31" t="s">
        <v>120</v>
      </c>
      <c r="D66" s="15" t="s">
        <v>88</v>
      </c>
      <c r="E66" s="68"/>
      <c r="F66" s="48" t="str">
        <f t="shared" ref="F66:F73" si="40">IF(E66="","",IF(E66="No",0,IF(E66="Needs Improvement", G66-1,G66)))</f>
        <v/>
      </c>
      <c r="G66" s="31">
        <f t="shared" ref="G66:G73" si="41">IF(E66="N/A",0,IF(C66="Legal Issue", law_pts, IF(C66="Administrative Rules", gpm_pts, trng_pts)))</f>
        <v>2</v>
      </c>
      <c r="H66" s="38"/>
      <c r="J66" s="5" t="s">
        <v>83</v>
      </c>
      <c r="K66" s="5" t="str">
        <f t="shared" ref="K66:K73" si="42">IF(OR(E66="", E66="N/A", E66="Yes"),"","Gap")</f>
        <v/>
      </c>
      <c r="L66" s="5">
        <f t="shared" ref="L66:L73" si="43">IF(E66="",0,G66-F66)</f>
        <v>0</v>
      </c>
      <c r="M66" s="5" t="str">
        <f t="shared" si="27"/>
        <v>Not Started</v>
      </c>
    </row>
    <row r="67" spans="1:13" ht="45" x14ac:dyDescent="0.25">
      <c r="A67" s="84" t="s">
        <v>192</v>
      </c>
      <c r="B67" s="14" t="s">
        <v>221</v>
      </c>
      <c r="C67" s="31" t="s">
        <v>120</v>
      </c>
      <c r="D67" s="15" t="s">
        <v>220</v>
      </c>
      <c r="E67" s="68"/>
      <c r="F67" s="48" t="str">
        <f t="shared" si="40"/>
        <v/>
      </c>
      <c r="G67" s="31">
        <f t="shared" si="41"/>
        <v>2</v>
      </c>
      <c r="H67" s="38"/>
      <c r="J67" s="5" t="s">
        <v>83</v>
      </c>
      <c r="K67" s="5" t="str">
        <f t="shared" si="42"/>
        <v/>
      </c>
      <c r="L67" s="5">
        <f t="shared" si="43"/>
        <v>0</v>
      </c>
      <c r="M67" s="5" t="str">
        <f t="shared" si="27"/>
        <v>Not Started</v>
      </c>
    </row>
    <row r="68" spans="1:13" ht="45" x14ac:dyDescent="0.25">
      <c r="A68" s="71">
        <v>41</v>
      </c>
      <c r="B68" s="14" t="s">
        <v>203</v>
      </c>
      <c r="C68" s="31" t="s">
        <v>111</v>
      </c>
      <c r="D68" s="15" t="s">
        <v>26</v>
      </c>
      <c r="E68" s="68"/>
      <c r="F68" s="48" t="str">
        <f t="shared" si="40"/>
        <v/>
      </c>
      <c r="G68" s="31">
        <f t="shared" si="41"/>
        <v>4</v>
      </c>
      <c r="H68" s="38"/>
      <c r="J68" s="5" t="s">
        <v>83</v>
      </c>
      <c r="K68" s="5" t="str">
        <f t="shared" si="42"/>
        <v/>
      </c>
      <c r="L68" s="5">
        <f t="shared" si="43"/>
        <v>0</v>
      </c>
      <c r="M68" s="5" t="str">
        <f t="shared" si="27"/>
        <v>Not Started</v>
      </c>
    </row>
    <row r="69" spans="1:13" ht="60" x14ac:dyDescent="0.25">
      <c r="A69" s="72">
        <v>42</v>
      </c>
      <c r="B69" s="14" t="s">
        <v>200</v>
      </c>
      <c r="C69" s="31" t="s">
        <v>17</v>
      </c>
      <c r="D69" s="31" t="s">
        <v>117</v>
      </c>
      <c r="E69" s="68"/>
      <c r="F69" s="48" t="str">
        <f t="shared" si="40"/>
        <v/>
      </c>
      <c r="G69" s="31">
        <f t="shared" si="41"/>
        <v>1</v>
      </c>
      <c r="H69" s="38"/>
      <c r="J69" s="5" t="s">
        <v>83</v>
      </c>
      <c r="K69" s="5" t="str">
        <f t="shared" si="42"/>
        <v/>
      </c>
      <c r="L69" s="5">
        <f t="shared" si="43"/>
        <v>0</v>
      </c>
      <c r="M69" s="5" t="str">
        <f t="shared" si="27"/>
        <v>Not Started</v>
      </c>
    </row>
    <row r="70" spans="1:13" ht="48" customHeight="1" x14ac:dyDescent="0.25">
      <c r="A70" s="71">
        <v>43</v>
      </c>
      <c r="B70" s="14" t="s">
        <v>108</v>
      </c>
      <c r="C70" s="31" t="s">
        <v>120</v>
      </c>
      <c r="D70" s="31" t="s">
        <v>89</v>
      </c>
      <c r="E70" s="68"/>
      <c r="F70" s="48" t="str">
        <f t="shared" si="40"/>
        <v/>
      </c>
      <c r="G70" s="31">
        <f t="shared" si="41"/>
        <v>2</v>
      </c>
      <c r="H70" s="38"/>
      <c r="J70" s="5" t="s">
        <v>83</v>
      </c>
      <c r="K70" s="5" t="str">
        <f t="shared" si="42"/>
        <v/>
      </c>
      <c r="L70" s="5">
        <f t="shared" si="43"/>
        <v>0</v>
      </c>
      <c r="M70" s="5" t="str">
        <f t="shared" si="27"/>
        <v>Not Started</v>
      </c>
    </row>
    <row r="71" spans="1:13" ht="48" customHeight="1" x14ac:dyDescent="0.25">
      <c r="A71" s="71">
        <v>44</v>
      </c>
      <c r="B71" s="14" t="s">
        <v>202</v>
      </c>
      <c r="C71" s="31" t="s">
        <v>120</v>
      </c>
      <c r="D71" s="31" t="s">
        <v>19</v>
      </c>
      <c r="E71" s="68"/>
      <c r="F71" s="48" t="str">
        <f t="shared" si="40"/>
        <v/>
      </c>
      <c r="G71" s="31">
        <f t="shared" si="41"/>
        <v>2</v>
      </c>
      <c r="H71" s="38"/>
      <c r="J71" s="5" t="s">
        <v>83</v>
      </c>
      <c r="K71" s="5" t="str">
        <f t="shared" si="42"/>
        <v/>
      </c>
      <c r="L71" s="5">
        <f t="shared" si="43"/>
        <v>0</v>
      </c>
      <c r="M71" s="5" t="str">
        <f t="shared" si="27"/>
        <v>Not Started</v>
      </c>
    </row>
    <row r="72" spans="1:13" ht="30" x14ac:dyDescent="0.25">
      <c r="A72" s="71">
        <v>45</v>
      </c>
      <c r="B72" s="14" t="s">
        <v>201</v>
      </c>
      <c r="C72" s="31" t="s">
        <v>120</v>
      </c>
      <c r="D72" s="31" t="s">
        <v>18</v>
      </c>
      <c r="E72" s="68"/>
      <c r="F72" s="48" t="str">
        <f t="shared" si="40"/>
        <v/>
      </c>
      <c r="G72" s="31">
        <f t="shared" si="41"/>
        <v>2</v>
      </c>
      <c r="H72" s="38"/>
      <c r="J72" s="5" t="s">
        <v>83</v>
      </c>
      <c r="K72" s="5" t="str">
        <f t="shared" si="42"/>
        <v/>
      </c>
      <c r="L72" s="5">
        <f t="shared" si="43"/>
        <v>0</v>
      </c>
      <c r="M72" s="5" t="str">
        <f t="shared" si="27"/>
        <v>Not Started</v>
      </c>
    </row>
    <row r="73" spans="1:13" ht="45" x14ac:dyDescent="0.25">
      <c r="A73" s="81" t="s">
        <v>193</v>
      </c>
      <c r="B73" s="14" t="s">
        <v>204</v>
      </c>
      <c r="C73" s="31" t="s">
        <v>120</v>
      </c>
      <c r="D73" s="15" t="s">
        <v>33</v>
      </c>
      <c r="E73" s="68"/>
      <c r="F73" s="48" t="str">
        <f t="shared" si="40"/>
        <v/>
      </c>
      <c r="G73" s="31">
        <f t="shared" si="41"/>
        <v>2</v>
      </c>
      <c r="H73" s="38"/>
      <c r="J73" s="5" t="s">
        <v>83</v>
      </c>
      <c r="K73" s="5" t="str">
        <f t="shared" si="42"/>
        <v/>
      </c>
      <c r="L73" s="5">
        <f t="shared" si="43"/>
        <v>0</v>
      </c>
      <c r="M73" s="5" t="str">
        <f t="shared" si="27"/>
        <v>Not Started</v>
      </c>
    </row>
    <row r="74" spans="1:13" ht="30" x14ac:dyDescent="0.25">
      <c r="A74" s="85" t="s">
        <v>119</v>
      </c>
      <c r="B74" s="14" t="s">
        <v>3</v>
      </c>
      <c r="C74" s="31" t="s">
        <v>24</v>
      </c>
      <c r="D74" s="31" t="s">
        <v>117</v>
      </c>
      <c r="E74" s="68"/>
      <c r="F74" s="149" t="str">
        <f>IF(OR(E74="No", E74="N/A"),"No Further Actions Needed",IF(E74="Yes","Answer #47a-c",""))</f>
        <v/>
      </c>
      <c r="G74" s="150"/>
      <c r="H74" s="37"/>
      <c r="J74" s="5" t="s">
        <v>28</v>
      </c>
      <c r="K74" s="151"/>
      <c r="L74" s="152"/>
    </row>
    <row r="75" spans="1:13" ht="45" x14ac:dyDescent="0.25">
      <c r="A75" s="86" t="s">
        <v>194</v>
      </c>
      <c r="B75" s="14" t="s">
        <v>209</v>
      </c>
      <c r="C75" s="31" t="s">
        <v>120</v>
      </c>
      <c r="D75" s="31" t="s">
        <v>32</v>
      </c>
      <c r="E75" s="67"/>
      <c r="F75" s="48" t="str">
        <f t="shared" ref="F75:F77" si="44">IF(E75="","",IF(E75="No",0,IF(E75="Needs Improvement", G75-1,G75)))</f>
        <v/>
      </c>
      <c r="G75" s="31">
        <f>IF(OR($E$74="No",E75="N/A"),0,IF(C75="Legal Issue", law_pts, IF(C75="Administrative Rules", gpm_pts, trng_pts)))</f>
        <v>2</v>
      </c>
      <c r="H75" s="37"/>
      <c r="J75" s="5" t="s">
        <v>83</v>
      </c>
      <c r="K75" s="5" t="str">
        <f>IF(OR(E75="", E75="N/A", E75="Yes"),"","Gap")</f>
        <v/>
      </c>
      <c r="L75" s="5">
        <f>IF(E75="",0,G75-F75)</f>
        <v>0</v>
      </c>
      <c r="M75" s="5" t="str">
        <f>IF(AND($E$74="Yes",ISBLANK(E75)=TRUE),"Not Started",IF($E$74="No","Not Applicable","Answered"))</f>
        <v>Answered</v>
      </c>
    </row>
    <row r="76" spans="1:13" ht="45" x14ac:dyDescent="0.25">
      <c r="A76" s="86" t="s">
        <v>195</v>
      </c>
      <c r="B76" s="14" t="s">
        <v>208</v>
      </c>
      <c r="C76" s="31" t="s">
        <v>120</v>
      </c>
      <c r="D76" s="31" t="s">
        <v>32</v>
      </c>
      <c r="E76" s="67"/>
      <c r="F76" s="48" t="str">
        <f t="shared" si="44"/>
        <v/>
      </c>
      <c r="G76" s="31">
        <f>IF(OR($E$74="No",E76="N/A"),0,IF(C76="Legal Issue", law_pts, IF(C76="Administrative Rules", gpm_pts, trng_pts)))</f>
        <v>2</v>
      </c>
      <c r="H76" s="37"/>
      <c r="J76" s="5" t="s">
        <v>83</v>
      </c>
      <c r="K76" s="5" t="str">
        <f>IF(OR(E76="", E76="N/A", E76="Yes"),"","Gap")</f>
        <v/>
      </c>
      <c r="L76" s="5">
        <f>IF(E76="",0,G76-F76)</f>
        <v>0</v>
      </c>
      <c r="M76" s="5" t="str">
        <f t="shared" ref="M76:M77" si="45">IF(AND($E$74="Yes",ISBLANK(E76)=TRUE),"Not Started",IF($E$74="No","Not Applicable","Answered"))</f>
        <v>Answered</v>
      </c>
    </row>
    <row r="77" spans="1:13" ht="45" x14ac:dyDescent="0.25">
      <c r="A77" s="86" t="s">
        <v>196</v>
      </c>
      <c r="B77" s="14" t="s">
        <v>210</v>
      </c>
      <c r="C77" s="31" t="s">
        <v>120</v>
      </c>
      <c r="D77" s="31" t="s">
        <v>27</v>
      </c>
      <c r="E77" s="67"/>
      <c r="F77" s="48" t="str">
        <f t="shared" si="44"/>
        <v/>
      </c>
      <c r="G77" s="31">
        <f>IF(OR($E$74="No",E77="N/A"),0,IF(C77="Legal Issue", law_pts, IF(C77="Administrative Rules", gpm_pts, trng_pts)))</f>
        <v>2</v>
      </c>
      <c r="H77" s="37"/>
      <c r="J77" s="5" t="s">
        <v>83</v>
      </c>
      <c r="K77" s="5" t="str">
        <f>IF(OR(E77="", E77="N/A", E77="Yes"),"","Gap")</f>
        <v/>
      </c>
      <c r="L77" s="5">
        <f>IF(E77="",0,G77-F77)</f>
        <v>0</v>
      </c>
      <c r="M77" s="5" t="str">
        <f t="shared" si="45"/>
        <v>Answered</v>
      </c>
    </row>
    <row r="78" spans="1:13" ht="18.75" x14ac:dyDescent="0.25">
      <c r="A78" s="141" t="s">
        <v>58</v>
      </c>
      <c r="B78" s="142"/>
      <c r="C78" s="142"/>
      <c r="D78" s="142"/>
      <c r="E78" s="142"/>
      <c r="F78" s="142"/>
      <c r="G78" s="142"/>
      <c r="H78" s="143"/>
      <c r="J78" s="135"/>
      <c r="K78" s="136"/>
      <c r="L78" s="136"/>
      <c r="M78" s="137"/>
    </row>
    <row r="79" spans="1:13" ht="45" x14ac:dyDescent="0.25">
      <c r="A79" s="81"/>
      <c r="B79" s="16" t="s">
        <v>109</v>
      </c>
      <c r="E79" s="67"/>
      <c r="H79" s="38"/>
    </row>
    <row r="80" spans="1:13" ht="30" x14ac:dyDescent="0.25">
      <c r="A80" s="81"/>
      <c r="B80" s="16" t="s">
        <v>110</v>
      </c>
      <c r="E80" s="67"/>
      <c r="H80" s="38"/>
    </row>
    <row r="81" spans="2:2" x14ac:dyDescent="0.25">
      <c r="B81" s="14"/>
    </row>
    <row r="82" spans="2:2" x14ac:dyDescent="0.25">
      <c r="B82" s="14"/>
    </row>
    <row r="83" spans="2:2" x14ac:dyDescent="0.25">
      <c r="B83" s="14"/>
    </row>
  </sheetData>
  <sheetProtection algorithmName="SHA-512" hashValue="LElLDLVkM8I2enn0ecHnjCvJ5St2rJP7SYmIJX7sLQOeq/TeitRQTuLV9uzqYOOD/uO7WhvmN8AGocOQHYzmoA==" saltValue="j4Yi6IgEZNtCOkRgpkAdww==" spinCount="100000" sheet="1" objects="1" scenarios="1"/>
  <mergeCells count="23">
    <mergeCell ref="J35:M35"/>
    <mergeCell ref="J49:M49"/>
    <mergeCell ref="J65:M65"/>
    <mergeCell ref="F42:G42"/>
    <mergeCell ref="K42:L42"/>
    <mergeCell ref="K51:L51"/>
    <mergeCell ref="F51:H51"/>
    <mergeCell ref="J78:M78"/>
    <mergeCell ref="A1:H1"/>
    <mergeCell ref="A65:H65"/>
    <mergeCell ref="A3:B3"/>
    <mergeCell ref="A78:H78"/>
    <mergeCell ref="A10:H10"/>
    <mergeCell ref="A35:H35"/>
    <mergeCell ref="A49:H49"/>
    <mergeCell ref="A2:H2"/>
    <mergeCell ref="A4:H4"/>
    <mergeCell ref="F36:G36"/>
    <mergeCell ref="F74:G74"/>
    <mergeCell ref="K36:L36"/>
    <mergeCell ref="K74:L74"/>
    <mergeCell ref="J10:M10"/>
    <mergeCell ref="J4:M4"/>
  </mergeCells>
  <conditionalFormatting sqref="B5 B19 B63:B64 B70:B77 B8:B9 B59:B61">
    <cfRule type="expression" dxfId="58" priority="217">
      <formula>A5="no"</formula>
    </cfRule>
  </conditionalFormatting>
  <conditionalFormatting sqref="B6:B7">
    <cfRule type="expression" dxfId="57" priority="107">
      <formula>A6="no"</formula>
    </cfRule>
  </conditionalFormatting>
  <conditionalFormatting sqref="B20">
    <cfRule type="expression" dxfId="56" priority="150">
      <formula>A20="no"</formula>
    </cfRule>
  </conditionalFormatting>
  <conditionalFormatting sqref="B21">
    <cfRule type="expression" dxfId="55" priority="149">
      <formula>A21="no"</formula>
    </cfRule>
  </conditionalFormatting>
  <conditionalFormatting sqref="B23">
    <cfRule type="expression" dxfId="54" priority="146">
      <formula>A23="no"</formula>
    </cfRule>
  </conditionalFormatting>
  <conditionalFormatting sqref="B28">
    <cfRule type="expression" dxfId="53" priority="141">
      <formula>A28="no"</formula>
    </cfRule>
  </conditionalFormatting>
  <conditionalFormatting sqref="B29">
    <cfRule type="expression" dxfId="52" priority="140">
      <formula>A29="no"</formula>
    </cfRule>
  </conditionalFormatting>
  <conditionalFormatting sqref="B30">
    <cfRule type="expression" dxfId="51" priority="139">
      <formula>A30="no"</formula>
    </cfRule>
  </conditionalFormatting>
  <conditionalFormatting sqref="B31">
    <cfRule type="expression" dxfId="50" priority="136">
      <formula>A31="no"</formula>
    </cfRule>
  </conditionalFormatting>
  <conditionalFormatting sqref="B54">
    <cfRule type="expression" dxfId="49" priority="76">
      <formula>A54="no"</formula>
    </cfRule>
  </conditionalFormatting>
  <conditionalFormatting sqref="B12:B14">
    <cfRule type="expression" dxfId="48" priority="102">
      <formula>A12="no"</formula>
    </cfRule>
  </conditionalFormatting>
  <conditionalFormatting sqref="B32">
    <cfRule type="expression" dxfId="47" priority="98">
      <formula>A32="no"</formula>
    </cfRule>
  </conditionalFormatting>
  <conditionalFormatting sqref="B34">
    <cfRule type="expression" dxfId="46" priority="97">
      <formula>A34="no"</formula>
    </cfRule>
  </conditionalFormatting>
  <conditionalFormatting sqref="B36">
    <cfRule type="expression" dxfId="45" priority="95">
      <formula>A36="no"</formula>
    </cfRule>
  </conditionalFormatting>
  <conditionalFormatting sqref="B37">
    <cfRule type="expression" dxfId="44" priority="94">
      <formula>A37="no"</formula>
    </cfRule>
  </conditionalFormatting>
  <conditionalFormatting sqref="B38">
    <cfRule type="expression" dxfId="43" priority="93">
      <formula>A38="no"</formula>
    </cfRule>
  </conditionalFormatting>
  <conditionalFormatting sqref="B39">
    <cfRule type="expression" dxfId="42" priority="92">
      <formula>A39="no"</formula>
    </cfRule>
  </conditionalFormatting>
  <conditionalFormatting sqref="B40:B42">
    <cfRule type="expression" dxfId="41" priority="90">
      <formula>A40="no"</formula>
    </cfRule>
  </conditionalFormatting>
  <conditionalFormatting sqref="B43">
    <cfRule type="expression" dxfId="40" priority="86">
      <formula>A43="no"</formula>
    </cfRule>
  </conditionalFormatting>
  <conditionalFormatting sqref="B44">
    <cfRule type="expression" dxfId="39" priority="85">
      <formula>A44="no"</formula>
    </cfRule>
  </conditionalFormatting>
  <conditionalFormatting sqref="B46">
    <cfRule type="expression" dxfId="38" priority="84">
      <formula>A46="no"</formula>
    </cfRule>
  </conditionalFormatting>
  <conditionalFormatting sqref="B47">
    <cfRule type="expression" dxfId="37" priority="83">
      <formula>A47="no"</formula>
    </cfRule>
  </conditionalFormatting>
  <conditionalFormatting sqref="B48">
    <cfRule type="expression" dxfId="36" priority="81">
      <formula>A48="no"</formula>
    </cfRule>
  </conditionalFormatting>
  <conditionalFormatting sqref="B53">
    <cfRule type="expression" dxfId="35" priority="79">
      <formula>A53="no"</formula>
    </cfRule>
  </conditionalFormatting>
  <conditionalFormatting sqref="B51">
    <cfRule type="expression" dxfId="34" priority="78">
      <formula>A51="no"</formula>
    </cfRule>
  </conditionalFormatting>
  <conditionalFormatting sqref="B50">
    <cfRule type="expression" dxfId="33" priority="77">
      <formula>A50="no"</formula>
    </cfRule>
  </conditionalFormatting>
  <conditionalFormatting sqref="B55:B56">
    <cfRule type="expression" dxfId="32" priority="75">
      <formula>A55="no"</formula>
    </cfRule>
  </conditionalFormatting>
  <conditionalFormatting sqref="B24">
    <cfRule type="expression" dxfId="31" priority="370">
      <formula>#REF!="no"</formula>
    </cfRule>
  </conditionalFormatting>
  <conditionalFormatting sqref="B27">
    <cfRule type="expression" dxfId="30" priority="371">
      <formula>A26="no"</formula>
    </cfRule>
  </conditionalFormatting>
  <conditionalFormatting sqref="B57">
    <cfRule type="expression" dxfId="29" priority="54">
      <formula>A57="no"</formula>
    </cfRule>
  </conditionalFormatting>
  <conditionalFormatting sqref="B58">
    <cfRule type="expression" dxfId="28" priority="53">
      <formula>A58="no"</formula>
    </cfRule>
  </conditionalFormatting>
  <conditionalFormatting sqref="B62">
    <cfRule type="expression" dxfId="27" priority="52">
      <formula>A62="no"</formula>
    </cfRule>
  </conditionalFormatting>
  <conditionalFormatting sqref="B66 B79:B83 B68:B69">
    <cfRule type="expression" dxfId="26" priority="51">
      <formula>A66="no"</formula>
    </cfRule>
  </conditionalFormatting>
  <conditionalFormatting sqref="B52">
    <cfRule type="expression" dxfId="25" priority="49">
      <formula>A52="no"</formula>
    </cfRule>
  </conditionalFormatting>
  <conditionalFormatting sqref="B67">
    <cfRule type="expression" dxfId="24" priority="42">
      <formula>A67="no"</formula>
    </cfRule>
  </conditionalFormatting>
  <conditionalFormatting sqref="J43:J44">
    <cfRule type="expression" dxfId="23" priority="38" stopIfTrue="1">
      <formula>#REF!="No"</formula>
    </cfRule>
  </conditionalFormatting>
  <conditionalFormatting sqref="B17:B18">
    <cfRule type="expression" dxfId="22" priority="34">
      <formula>A17="no"</formula>
    </cfRule>
  </conditionalFormatting>
  <conditionalFormatting sqref="F36:G36">
    <cfRule type="containsText" dxfId="21" priority="29" operator="containsText" text="Go to Question #21">
      <formula>NOT(ISERROR(SEARCH("Go to Question #21",F36)))</formula>
    </cfRule>
  </conditionalFormatting>
  <conditionalFormatting sqref="E37">
    <cfRule type="expression" dxfId="20" priority="28" stopIfTrue="1">
      <formula>$E$36="No"</formula>
    </cfRule>
  </conditionalFormatting>
  <conditionalFormatting sqref="E75:E77">
    <cfRule type="expression" dxfId="19" priority="27" stopIfTrue="1">
      <formula>$E$74&lt;&gt;"Yes"</formula>
    </cfRule>
  </conditionalFormatting>
  <conditionalFormatting sqref="B26">
    <cfRule type="expression" dxfId="18" priority="374">
      <formula>#REF!="no"</formula>
    </cfRule>
  </conditionalFormatting>
  <conditionalFormatting sqref="K36:L36">
    <cfRule type="containsText" dxfId="17" priority="26" operator="containsText" text="No Further Actions Needed">
      <formula>NOT(ISERROR(SEARCH("No Further Actions Needed",K36)))</formula>
    </cfRule>
  </conditionalFormatting>
  <conditionalFormatting sqref="K74:L74">
    <cfRule type="containsText" dxfId="16" priority="25" operator="containsText" text="No Further Actions Needed">
      <formula>NOT(ISERROR(SEARCH("No Further Actions Needed",K74)))</formula>
    </cfRule>
  </conditionalFormatting>
  <conditionalFormatting sqref="B11">
    <cfRule type="expression" dxfId="15" priority="24">
      <formula>A11="no"</formula>
    </cfRule>
  </conditionalFormatting>
  <conditionalFormatting sqref="E38">
    <cfRule type="expression" dxfId="14" priority="23" stopIfTrue="1">
      <formula>$E$36="No"</formula>
    </cfRule>
  </conditionalFormatting>
  <conditionalFormatting sqref="E39">
    <cfRule type="expression" dxfId="13" priority="22" stopIfTrue="1">
      <formula>$E$36="No"</formula>
    </cfRule>
  </conditionalFormatting>
  <conditionalFormatting sqref="B16">
    <cfRule type="expression" dxfId="12" priority="21">
      <formula>A16="no"</formula>
    </cfRule>
  </conditionalFormatting>
  <conditionalFormatting sqref="B22">
    <cfRule type="expression" dxfId="11" priority="20">
      <formula>A22="no"</formula>
    </cfRule>
  </conditionalFormatting>
  <conditionalFormatting sqref="B25">
    <cfRule type="expression" dxfId="10" priority="19">
      <formula>#REF!="no"</formula>
    </cfRule>
  </conditionalFormatting>
  <conditionalFormatting sqref="B33">
    <cfRule type="expression" dxfId="9" priority="18">
      <formula>A33="no"</formula>
    </cfRule>
  </conditionalFormatting>
  <conditionalFormatting sqref="B45">
    <cfRule type="expression" dxfId="8" priority="17">
      <formula>A45="no"</formula>
    </cfRule>
  </conditionalFormatting>
  <conditionalFormatting sqref="J45">
    <cfRule type="expression" dxfId="7" priority="16" stopIfTrue="1">
      <formula>#REF!="No"</formula>
    </cfRule>
  </conditionalFormatting>
  <conditionalFormatting sqref="E43:E44">
    <cfRule type="expression" dxfId="6" priority="13" stopIfTrue="1">
      <formula>$E$42="No"</formula>
    </cfRule>
  </conditionalFormatting>
  <conditionalFormatting sqref="E45">
    <cfRule type="expression" dxfId="5" priority="11" stopIfTrue="1">
      <formula>$E$42="No"</formula>
    </cfRule>
  </conditionalFormatting>
  <conditionalFormatting sqref="F42:G42">
    <cfRule type="containsText" dxfId="4" priority="10" operator="containsText" text="Go to Question #21">
      <formula>NOT(ISERROR(SEARCH("Go to Question #21",F42)))</formula>
    </cfRule>
  </conditionalFormatting>
  <conditionalFormatting sqref="K42:L42">
    <cfRule type="containsText" dxfId="3" priority="9" operator="containsText" text="No Further Actions Needed">
      <formula>NOT(ISERROR(SEARCH("No Further Actions Needed",K42)))</formula>
    </cfRule>
  </conditionalFormatting>
  <conditionalFormatting sqref="F74:G74">
    <cfRule type="containsText" dxfId="2" priority="3" operator="containsText" text="Go to Question #21">
      <formula>NOT(ISERROR(SEARCH("Go to Question #21",F74)))</formula>
    </cfRule>
  </conditionalFormatting>
  <conditionalFormatting sqref="K51:L51">
    <cfRule type="containsText" dxfId="1" priority="2" operator="containsText" text="No Further Actions Needed">
      <formula>NOT(ISERROR(SEARCH("No Further Actions Needed",K51)))</formula>
    </cfRule>
  </conditionalFormatting>
  <conditionalFormatting sqref="F51">
    <cfRule type="containsText" dxfId="0" priority="1" operator="containsText" text="Go to Question #21">
      <formula>NOT(ISERROR(SEARCH("Go to Question #21",F51)))</formula>
    </cfRule>
  </conditionalFormatting>
  <dataValidations count="8">
    <dataValidation type="list" errorStyle="warning" allowBlank="1" showErrorMessage="1" errorTitle="Input Error" error="The value you entered is not valid for this cell.  Please try again." promptTitle="Compliance Level" prompt="Select value from the dropdown list." sqref="E13 E74:E77 E24:E26 E29:E32 E36:E39 E42:E46">
      <formula1>"Yes, No"</formula1>
    </dataValidation>
    <dataValidation type="list" errorStyle="warning" allowBlank="1" showErrorMessage="1" errorTitle="Input Error" error="The value you entered is not valid for this cell.  Please try again." promptTitle="Compliance Level" prompt="Select value from the dropdown list." sqref="E11:E12 E40:E41 E50:E64 E47:E48 E66:E73 E22:E23 E5:E9 E33">
      <formula1>"Yes, No, N/A"</formula1>
    </dataValidation>
    <dataValidation errorStyle="warning" allowBlank="1" showErrorMessage="1" errorTitle="Input Error" error="The value you entered is not valid for this cell.  Please try again." promptTitle="Compliance Level" prompt="Select value from the dropdown list." sqref="E27 E51:F51"/>
    <dataValidation type="list" errorStyle="warning" allowBlank="1" showErrorMessage="1" errorTitle="Input Error" error="The value you entered is not valid for this cell.  Please try again." promptTitle="Compliance Level" prompt="Select value from the dropdown list." sqref="E14 E34">
      <formula1>"Yes, No, Needs Improvement"</formula1>
    </dataValidation>
    <dataValidation type="list" errorStyle="warning" allowBlank="1" showErrorMessage="1" errorTitle="Input Error" error="The value you entered is not valid for this cell.  Please try again." promptTitle="Compliance Level" prompt="Select value from the dropdown list." sqref="E15:E19">
      <formula1>"Yes, No, N/A, Needs Improvement"</formula1>
    </dataValidation>
    <dataValidation type="list" allowBlank="1" showInputMessage="1" showErrorMessage="1" sqref="C36:C48 C11:C34 C66:C77 C5:C9 C50:C64">
      <formula1>ref_type</formula1>
    </dataValidation>
    <dataValidation type="list" errorStyle="warning" allowBlank="1" showErrorMessage="1" errorTitle="Input Error" error="The value you entered is not valid for this cell.  Please try again." promptTitle="Compliance Level" prompt="Select value from the dropdown list." sqref="E28 E20:E21">
      <formula1>"Yes, No, Needs Improvement, N/A"</formula1>
    </dataValidation>
    <dataValidation type="list" allowBlank="1" showInputMessage="1" showErrorMessage="1" sqref="E79:E80">
      <formula1>"Yes, No"</formula1>
    </dataValidation>
  </dataValidations>
  <pageMargins left="0.75" right="0.25" top="0.75" bottom="0.75" header="0.3" footer="0.3"/>
  <pageSetup paperSize="5" fitToHeight="0" orientation="landscape" r:id="rId1"/>
  <headerFooter>
    <oddHeader>&amp;C&amp;F</oddHeader>
    <oddFooter>&amp;LCopyright © 2010 – DOAS State Purchasing Division&amp;C
Revised 09/29/2016&amp;RPage &amp;P 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1:F7"/>
  <sheetViews>
    <sheetView showRuler="0" zoomScaleNormal="100" workbookViewId="0">
      <selection activeCell="E4" sqref="E4"/>
    </sheetView>
  </sheetViews>
  <sheetFormatPr defaultColWidth="8.85546875" defaultRowHeight="12.75" x14ac:dyDescent="0.2"/>
  <cols>
    <col min="1" max="1" width="8.85546875" style="45" customWidth="1"/>
    <col min="2" max="2" width="12.42578125" style="45" customWidth="1"/>
    <col min="3" max="3" width="11.42578125" style="45" customWidth="1"/>
    <col min="4" max="4" width="8.85546875" style="45" customWidth="1"/>
    <col min="5" max="5" width="77.5703125" style="45" bestFit="1" customWidth="1"/>
    <col min="6" max="6" width="8.85546875" style="45" customWidth="1"/>
    <col min="7" max="16384" width="8.85546875" style="45"/>
  </cols>
  <sheetData>
    <row r="1" spans="2:6" s="41" customFormat="1" ht="18.75" x14ac:dyDescent="0.2">
      <c r="B1" s="154" t="s">
        <v>5</v>
      </c>
      <c r="C1" s="154"/>
      <c r="D1" s="39"/>
      <c r="E1" s="39" t="s">
        <v>4</v>
      </c>
      <c r="F1" s="40"/>
    </row>
    <row r="2" spans="2:6" s="41" customFormat="1" ht="58.15" customHeight="1" x14ac:dyDescent="0.2">
      <c r="B2" s="155">
        <v>3</v>
      </c>
      <c r="C2" s="155"/>
      <c r="D2" s="42"/>
      <c r="E2" s="43" t="s">
        <v>96</v>
      </c>
      <c r="F2" s="40"/>
    </row>
    <row r="3" spans="2:6" s="41" customFormat="1" ht="33.75" customHeight="1" x14ac:dyDescent="0.2">
      <c r="B3" s="155" t="s">
        <v>127</v>
      </c>
      <c r="C3" s="155"/>
      <c r="D3" s="42"/>
      <c r="E3" s="43" t="s">
        <v>95</v>
      </c>
      <c r="F3" s="40"/>
    </row>
    <row r="4" spans="2:6" s="41" customFormat="1" ht="21.75" customHeight="1" x14ac:dyDescent="0.2">
      <c r="B4" s="155"/>
      <c r="C4" s="155"/>
      <c r="D4" s="42"/>
      <c r="E4" s="46" t="s">
        <v>6</v>
      </c>
      <c r="F4" s="40"/>
    </row>
    <row r="5" spans="2:6" s="41" customFormat="1" ht="31.5" customHeight="1" x14ac:dyDescent="0.2">
      <c r="B5" s="155" t="s">
        <v>126</v>
      </c>
      <c r="C5" s="155"/>
      <c r="D5" s="42"/>
      <c r="E5" s="44" t="s">
        <v>94</v>
      </c>
      <c r="F5" s="40"/>
    </row>
    <row r="6" spans="2:6" s="41" customFormat="1" ht="37.5" customHeight="1" x14ac:dyDescent="0.2">
      <c r="B6" s="155"/>
      <c r="C6" s="155"/>
      <c r="D6" s="42"/>
      <c r="E6" s="47" t="s">
        <v>7</v>
      </c>
      <c r="F6" s="40"/>
    </row>
    <row r="7" spans="2:6" ht="16.5" customHeight="1" x14ac:dyDescent="0.2"/>
  </sheetData>
  <sheetProtection algorithmName="SHA-512" hashValue="/eyjF5OMLSGhIM6hTCihtMneR+nIJ1Qp329LWo3uG394v3EBSVRi0mJfKnGEMbEwS9h4iqr9rSCxt6o1Vs9kiA==" saltValue="BCUAqkFZwdnoq4xzY/IOog==" spinCount="100000" sheet="1" insertHyperlinks="0" selectLockedCells="1" selectUnlockedCells="1"/>
  <mergeCells count="4">
    <mergeCell ref="B1:C1"/>
    <mergeCell ref="B2:C2"/>
    <mergeCell ref="B3:C4"/>
    <mergeCell ref="B5:C6"/>
  </mergeCells>
  <hyperlinks>
    <hyperlink ref="E4" r:id="rId1"/>
    <hyperlink ref="E6" r:id="rId2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F98D543DB5F52847A9BB192F044EEE01" ma:contentTypeVersion="66" ma:contentTypeDescription="This is used to create DOAS Asset Library" ma:contentTypeScope="" ma:versionID="f63841302093815abb27a7258ac42c55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bc94845b17ff7bde581384e75a7ff5b5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 minOccurs="0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nillable="true" ma:displayName="Document Category" ma:default="Additional Resources" ma:description="" ma:format="Dropdown" ma:internalName="CategoryDoc">
      <xsd:simpleType>
        <xsd:restriction base="dms:Choice">
          <xsd:enumeration value="Additional Resources"/>
          <xsd:enumeration value="Compliance Tools"/>
          <xsd:enumeration value="P-Card Tools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axCatchAll xmlns="64719721-3f2e-4037-a826-7fe00fbc2e3c">
      <Value>20</Value>
    </TaxCatchAll>
    <EffectiveDate xmlns="0726195c-4e5f-403b-b0e6-5bc4fc6a495f">2016-09-27T20:08:00+00:00</EffectiveDate>
    <Division xmlns="64719721-3f2e-4037-a826-7fe00fbc2e3c">State Purchasing</Division>
    <CategoryDoc xmlns="0726195c-4e5f-403b-b0e6-5bc4fc6a495f">Compliance Tools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Improvement Tools</TermName>
          <TermId xmlns="http://schemas.microsoft.com/office/infopath/2007/PartnerControls">803926a4-11ec-4cbe-8c32-5113c0cbbb39</TermId>
        </TermInfo>
      </Terms>
    </b814ba249d91463a8222dc7318a2e120>
    <DocumentDescription xmlns="0726195c-4e5f-403b-b0e6-5bc4fc6a495f">Excel tool that allows the reviewer to evaluate RFP's by specific criteria - Georgia Law, GPM, Training, and Best Practices</DocumentDescription>
    <TaxKeywordTaxHTField xmlns="64719721-3f2e-4037-a826-7fe00fbc2e3c">
      <Terms xmlns="http://schemas.microsoft.com/office/infopath/2007/PartnerControls"/>
    </TaxKeywordTaxHTField>
    <DisplayPriority xmlns="0726195c-4e5f-403b-b0e6-5bc4fc6a495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F94A8CC-20A2-442F-9A7E-67FE75BFCF4A}"/>
</file>

<file path=customXml/itemProps2.xml><?xml version="1.0" encoding="utf-8"?>
<ds:datastoreItem xmlns:ds="http://schemas.openxmlformats.org/officeDocument/2006/customXml" ds:itemID="{912E8A83-1B2B-4193-B0FD-F9A2803176AB}"/>
</file>

<file path=customXml/itemProps3.xml><?xml version="1.0" encoding="utf-8"?>
<ds:datastoreItem xmlns:ds="http://schemas.openxmlformats.org/officeDocument/2006/customXml" ds:itemID="{D1AF0728-DFFB-4DF9-9A11-40A5D7FAC51E}"/>
</file>

<file path=customXml/itemProps4.xml><?xml version="1.0" encoding="utf-8"?>
<ds:datastoreItem xmlns:ds="http://schemas.openxmlformats.org/officeDocument/2006/customXml" ds:itemID="{0698F239-2ECF-437E-B43A-14BC52BC106B}"/>
</file>

<file path=customXml/itemProps5.xml><?xml version="1.0" encoding="utf-8"?>
<ds:datastoreItem xmlns:ds="http://schemas.openxmlformats.org/officeDocument/2006/customXml" ds:itemID="{A6689099-7071-4936-802D-A158C89C08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Solicitation Information</vt:lpstr>
      <vt:lpstr>RFP Scorecard</vt:lpstr>
      <vt:lpstr>Resources</vt:lpstr>
      <vt:lpstr>actual_score</vt:lpstr>
      <vt:lpstr>answer_status</vt:lpstr>
      <vt:lpstr>comp_level</vt:lpstr>
      <vt:lpstr>drop_downs</vt:lpstr>
      <vt:lpstr>gap</vt:lpstr>
      <vt:lpstr>gpm_pts</vt:lpstr>
      <vt:lpstr>law_pts</vt:lpstr>
      <vt:lpstr>lost</vt:lpstr>
      <vt:lpstr>max_score</vt:lpstr>
      <vt:lpstr>not_started</vt:lpstr>
      <vt:lpstr>optional</vt:lpstr>
      <vt:lpstr>'RFP Scorecard'!Print_Area</vt:lpstr>
      <vt:lpstr>'Solicitation Information'!Print_Area</vt:lpstr>
      <vt:lpstr>'RFP Scorecard'!Print_Titles</vt:lpstr>
      <vt:lpstr>question_count</vt:lpstr>
      <vt:lpstr>ref_type</vt:lpstr>
      <vt:lpstr>reference</vt:lpstr>
      <vt:lpstr>score</vt:lpstr>
      <vt:lpstr>scored</vt:lpstr>
      <vt:lpstr>trng_pts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Scorecard - UPDATED</dc:title>
  <dc:creator>Maggie.Clarke@doas.ga.gov</dc:creator>
  <cp:keywords/>
  <cp:lastModifiedBy>Clarke, Maggie</cp:lastModifiedBy>
  <cp:lastPrinted>2016-09-27T15:02:31Z</cp:lastPrinted>
  <dcterms:created xsi:type="dcterms:W3CDTF">2015-07-07T13:28:52Z</dcterms:created>
  <dcterms:modified xsi:type="dcterms:W3CDTF">2017-11-28T15:08:33Z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0x010100B2029F26138C4BFDA158A626F91E876A00F98D543DB5F52847A9BB192F044EEE01</vt:lpwstr>
  </property>
  <property fmtid="{D5CDD505-2E9C-101B-9397-08002B2CF9AE}" pid="3" name="TaxKeyword">
    <vt:lpwstr/>
  </property>
  <property fmtid="{D5CDD505-2E9C-101B-9397-08002B2CF9AE}" pid="4" name="BusinessServices">
    <vt:lpwstr>20;#Process Improvement Tools|803926a4-11ec-4cbe-8c32-5113c0cbbb39</vt:lpwstr>
  </property>
  <property fmtid="{D5CDD505-2E9C-101B-9397-08002B2CF9AE}" pid="5" name="VideoType">
    <vt:lpwstr/>
  </property>
  <property fmtid="{D5CDD505-2E9C-101B-9397-08002B2CF9AE}" pid="6" name="ValidSession">
    <vt:lpwstr>False</vt:lpwstr>
  </property>
  <property fmtid="{D5CDD505-2E9C-101B-9397-08002B2CF9AE}" pid="7" name="_dlc_DocIdItemGuid">
    <vt:lpwstr>60fb6310-f592-4b8e-a048-29a6df328f39</vt:lpwstr>
  </property>
</Properties>
</file>